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Development\PManager\personalwebsite\outputs\01a1312a-f3ad-7922-a90c-20eed7f35b83\M2\"/>
    </mc:Choice>
  </mc:AlternateContent>
  <xr:revisionPtr revIDLastSave="0" documentId="13_ncr:1_{8B7EC1B9-1689-488C-8EE5-EA7659715D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aport" sheetId="1" r:id="rId1"/>
    <sheet name="Parametry" sheetId="2" r:id="rId2"/>
    <sheet name="Model" sheetId="3" r:id="rId3"/>
    <sheet name="Alokacja" sheetId="4" r:id="rId4"/>
    <sheet name="Plan" sheetId="5" r:id="rId5"/>
    <sheet name="Umowy" sheetId="6" r:id="rId6"/>
    <sheet name="ERP" sheetId="7" r:id="rId7"/>
    <sheet name="Prognoza" sheetId="8" r:id="rId8"/>
    <sheet name="Kontrola" sheetId="9" r:id="rId9"/>
    <sheet name="Instrukcja" sheetId="10" r:id="rId10"/>
  </sheets>
  <definedNames>
    <definedName name="_xlnm.Print_Area" localSheetId="0">Raport!$C$2:$N$51</definedName>
  </definedNames>
  <calcPr calcId="181029"/>
</workbook>
</file>

<file path=xl/calcChain.xml><?xml version="1.0" encoding="utf-8"?>
<calcChain xmlns="http://schemas.openxmlformats.org/spreadsheetml/2006/main">
  <c r="D23" i="9" l="1"/>
  <c r="D22" i="9"/>
  <c r="F38" i="8"/>
  <c r="G38" i="8" s="1"/>
  <c r="E38" i="8"/>
  <c r="D38" i="8"/>
  <c r="F37" i="8"/>
  <c r="G37" i="8" s="1"/>
  <c r="E37" i="8"/>
  <c r="D37" i="8"/>
  <c r="F36" i="8"/>
  <c r="G36" i="8" s="1"/>
  <c r="E36" i="8"/>
  <c r="D36" i="8"/>
  <c r="F35" i="8"/>
  <c r="G35" i="8" s="1"/>
  <c r="E35" i="8"/>
  <c r="D35" i="8"/>
  <c r="F34" i="8"/>
  <c r="G34" i="8" s="1"/>
  <c r="E34" i="8"/>
  <c r="D34" i="8"/>
  <c r="F33" i="8"/>
  <c r="G33" i="8" s="1"/>
  <c r="E33" i="8"/>
  <c r="D33" i="8"/>
  <c r="F32" i="8"/>
  <c r="G32" i="8" s="1"/>
  <c r="E32" i="8"/>
  <c r="D32" i="8"/>
  <c r="F31" i="8"/>
  <c r="G31" i="8" s="1"/>
  <c r="E31" i="8"/>
  <c r="D31" i="8"/>
  <c r="F30" i="8"/>
  <c r="G30" i="8" s="1"/>
  <c r="E30" i="8"/>
  <c r="D30" i="8"/>
  <c r="F29" i="8"/>
  <c r="G29" i="8" s="1"/>
  <c r="E29" i="8"/>
  <c r="D29" i="8"/>
  <c r="F28" i="8"/>
  <c r="G28" i="8" s="1"/>
  <c r="E28" i="8"/>
  <c r="D28" i="8"/>
  <c r="F27" i="8"/>
  <c r="G27" i="8" s="1"/>
  <c r="E27" i="8"/>
  <c r="D27" i="8"/>
  <c r="F26" i="8"/>
  <c r="G26" i="8" s="1"/>
  <c r="E26" i="8"/>
  <c r="D26" i="8"/>
  <c r="F25" i="8"/>
  <c r="G25" i="8" s="1"/>
  <c r="E25" i="8"/>
  <c r="D25" i="8"/>
  <c r="F24" i="8"/>
  <c r="G24" i="8" s="1"/>
  <c r="E24" i="8"/>
  <c r="D24" i="8"/>
  <c r="F23" i="8"/>
  <c r="G23" i="8" s="1"/>
  <c r="E23" i="8"/>
  <c r="D23" i="8"/>
  <c r="F22" i="8"/>
  <c r="G22" i="8" s="1"/>
  <c r="E22" i="8"/>
  <c r="D22" i="8"/>
  <c r="F21" i="8"/>
  <c r="G21" i="8" s="1"/>
  <c r="D21" i="8"/>
  <c r="F20" i="8"/>
  <c r="G20" i="8" s="1"/>
  <c r="D20" i="8"/>
  <c r="F19" i="8"/>
  <c r="G19" i="8" s="1"/>
  <c r="D19" i="8"/>
  <c r="F18" i="8"/>
  <c r="G18" i="8" s="1"/>
  <c r="D18" i="8"/>
  <c r="F17" i="8"/>
  <c r="G17" i="8" s="1"/>
  <c r="D17" i="8"/>
  <c r="F16" i="8"/>
  <c r="G16" i="8" s="1"/>
  <c r="D16" i="8"/>
  <c r="F15" i="8"/>
  <c r="G15" i="8" s="1"/>
  <c r="D15" i="8"/>
  <c r="F14" i="8"/>
  <c r="G14" i="8" s="1"/>
  <c r="D14" i="8"/>
  <c r="F13" i="8"/>
  <c r="G13" i="8" s="1"/>
  <c r="D13" i="8"/>
  <c r="F12" i="8"/>
  <c r="G12" i="8" s="1"/>
  <c r="D12" i="8"/>
  <c r="F11" i="8"/>
  <c r="G11" i="8" s="1"/>
  <c r="D11" i="8"/>
  <c r="F10" i="8"/>
  <c r="G10" i="8" s="1"/>
  <c r="D10" i="8"/>
  <c r="F9" i="8"/>
  <c r="D9" i="8"/>
  <c r="Q1008" i="7"/>
  <c r="O1008" i="7"/>
  <c r="P1008" i="7" s="1"/>
  <c r="N1008" i="7"/>
  <c r="M1008" i="7"/>
  <c r="L1008" i="7"/>
  <c r="Q1007" i="7"/>
  <c r="O1007" i="7"/>
  <c r="P1007" i="7" s="1"/>
  <c r="N1007" i="7"/>
  <c r="M1007" i="7"/>
  <c r="L1007" i="7"/>
  <c r="Q1006" i="7"/>
  <c r="O1006" i="7"/>
  <c r="P1006" i="7" s="1"/>
  <c r="N1006" i="7"/>
  <c r="M1006" i="7"/>
  <c r="L1006" i="7"/>
  <c r="Q1005" i="7"/>
  <c r="O1005" i="7"/>
  <c r="P1005" i="7" s="1"/>
  <c r="N1005" i="7"/>
  <c r="M1005" i="7"/>
  <c r="L1005" i="7"/>
  <c r="Q1004" i="7"/>
  <c r="O1004" i="7"/>
  <c r="P1004" i="7" s="1"/>
  <c r="N1004" i="7"/>
  <c r="M1004" i="7"/>
  <c r="L1004" i="7"/>
  <c r="Q1003" i="7"/>
  <c r="O1003" i="7"/>
  <c r="P1003" i="7" s="1"/>
  <c r="N1003" i="7"/>
  <c r="M1003" i="7"/>
  <c r="L1003" i="7"/>
  <c r="Q1002" i="7"/>
  <c r="O1002" i="7"/>
  <c r="P1002" i="7" s="1"/>
  <c r="N1002" i="7"/>
  <c r="M1002" i="7"/>
  <c r="L1002" i="7"/>
  <c r="Q1001" i="7"/>
  <c r="O1001" i="7"/>
  <c r="P1001" i="7" s="1"/>
  <c r="N1001" i="7"/>
  <c r="M1001" i="7"/>
  <c r="L1001" i="7"/>
  <c r="Q1000" i="7"/>
  <c r="O1000" i="7"/>
  <c r="P1000" i="7" s="1"/>
  <c r="N1000" i="7"/>
  <c r="M1000" i="7"/>
  <c r="L1000" i="7"/>
  <c r="Q999" i="7"/>
  <c r="O999" i="7"/>
  <c r="P999" i="7" s="1"/>
  <c r="N999" i="7"/>
  <c r="M999" i="7"/>
  <c r="L999" i="7"/>
  <c r="Q998" i="7"/>
  <c r="O998" i="7"/>
  <c r="P998" i="7" s="1"/>
  <c r="N998" i="7"/>
  <c r="M998" i="7"/>
  <c r="L998" i="7"/>
  <c r="Q997" i="7"/>
  <c r="O997" i="7"/>
  <c r="P997" i="7" s="1"/>
  <c r="N997" i="7"/>
  <c r="M997" i="7"/>
  <c r="L997" i="7"/>
  <c r="Q996" i="7"/>
  <c r="O996" i="7"/>
  <c r="P996" i="7" s="1"/>
  <c r="N996" i="7"/>
  <c r="M996" i="7"/>
  <c r="L996" i="7"/>
  <c r="Q995" i="7"/>
  <c r="O995" i="7"/>
  <c r="P995" i="7" s="1"/>
  <c r="N995" i="7"/>
  <c r="M995" i="7"/>
  <c r="L995" i="7"/>
  <c r="Q994" i="7"/>
  <c r="O994" i="7"/>
  <c r="P994" i="7" s="1"/>
  <c r="N994" i="7"/>
  <c r="M994" i="7"/>
  <c r="L994" i="7"/>
  <c r="Q993" i="7"/>
  <c r="O993" i="7"/>
  <c r="P993" i="7" s="1"/>
  <c r="N993" i="7"/>
  <c r="M993" i="7"/>
  <c r="L993" i="7"/>
  <c r="Q992" i="7"/>
  <c r="O992" i="7"/>
  <c r="P992" i="7" s="1"/>
  <c r="N992" i="7"/>
  <c r="M992" i="7"/>
  <c r="L992" i="7"/>
  <c r="Q991" i="7"/>
  <c r="O991" i="7"/>
  <c r="P991" i="7" s="1"/>
  <c r="N991" i="7"/>
  <c r="M991" i="7"/>
  <c r="L991" i="7"/>
  <c r="Q990" i="7"/>
  <c r="O990" i="7"/>
  <c r="P990" i="7" s="1"/>
  <c r="N990" i="7"/>
  <c r="M990" i="7"/>
  <c r="L990" i="7"/>
  <c r="Q989" i="7"/>
  <c r="O989" i="7"/>
  <c r="P989" i="7" s="1"/>
  <c r="N989" i="7"/>
  <c r="M989" i="7"/>
  <c r="L989" i="7"/>
  <c r="Q988" i="7"/>
  <c r="O988" i="7"/>
  <c r="P988" i="7" s="1"/>
  <c r="N988" i="7"/>
  <c r="M988" i="7"/>
  <c r="L988" i="7"/>
  <c r="Q987" i="7"/>
  <c r="O987" i="7"/>
  <c r="P987" i="7" s="1"/>
  <c r="N987" i="7"/>
  <c r="M987" i="7"/>
  <c r="L987" i="7"/>
  <c r="Q986" i="7"/>
  <c r="O986" i="7"/>
  <c r="P986" i="7" s="1"/>
  <c r="N986" i="7"/>
  <c r="M986" i="7"/>
  <c r="L986" i="7"/>
  <c r="Q985" i="7"/>
  <c r="O985" i="7"/>
  <c r="P985" i="7" s="1"/>
  <c r="N985" i="7"/>
  <c r="M985" i="7"/>
  <c r="L985" i="7"/>
  <c r="Q984" i="7"/>
  <c r="O984" i="7"/>
  <c r="P984" i="7" s="1"/>
  <c r="N984" i="7"/>
  <c r="M984" i="7"/>
  <c r="L984" i="7"/>
  <c r="Q983" i="7"/>
  <c r="O983" i="7"/>
  <c r="P983" i="7" s="1"/>
  <c r="N983" i="7"/>
  <c r="M983" i="7"/>
  <c r="L983" i="7"/>
  <c r="Q982" i="7"/>
  <c r="O982" i="7"/>
  <c r="P982" i="7" s="1"/>
  <c r="N982" i="7"/>
  <c r="M982" i="7"/>
  <c r="L982" i="7"/>
  <c r="Q981" i="7"/>
  <c r="O981" i="7"/>
  <c r="P981" i="7" s="1"/>
  <c r="N981" i="7"/>
  <c r="M981" i="7"/>
  <c r="L981" i="7"/>
  <c r="Q980" i="7"/>
  <c r="O980" i="7"/>
  <c r="P980" i="7" s="1"/>
  <c r="N980" i="7"/>
  <c r="M980" i="7"/>
  <c r="L980" i="7"/>
  <c r="Q979" i="7"/>
  <c r="O979" i="7"/>
  <c r="P979" i="7" s="1"/>
  <c r="N979" i="7"/>
  <c r="M979" i="7"/>
  <c r="L979" i="7"/>
  <c r="Q978" i="7"/>
  <c r="O978" i="7"/>
  <c r="P978" i="7" s="1"/>
  <c r="N978" i="7"/>
  <c r="M978" i="7"/>
  <c r="L978" i="7"/>
  <c r="Q977" i="7"/>
  <c r="O977" i="7"/>
  <c r="P977" i="7" s="1"/>
  <c r="N977" i="7"/>
  <c r="M977" i="7"/>
  <c r="L977" i="7"/>
  <c r="Q976" i="7"/>
  <c r="O976" i="7"/>
  <c r="P976" i="7" s="1"/>
  <c r="N976" i="7"/>
  <c r="M976" i="7"/>
  <c r="L976" i="7"/>
  <c r="Q975" i="7"/>
  <c r="O975" i="7"/>
  <c r="P975" i="7" s="1"/>
  <c r="N975" i="7"/>
  <c r="M975" i="7"/>
  <c r="L975" i="7"/>
  <c r="Q974" i="7"/>
  <c r="O974" i="7"/>
  <c r="P974" i="7" s="1"/>
  <c r="N974" i="7"/>
  <c r="M974" i="7"/>
  <c r="L974" i="7"/>
  <c r="Q973" i="7"/>
  <c r="O973" i="7"/>
  <c r="P973" i="7" s="1"/>
  <c r="N973" i="7"/>
  <c r="M973" i="7"/>
  <c r="L973" i="7"/>
  <c r="Q972" i="7"/>
  <c r="O972" i="7"/>
  <c r="P972" i="7" s="1"/>
  <c r="N972" i="7"/>
  <c r="M972" i="7"/>
  <c r="L972" i="7"/>
  <c r="Q971" i="7"/>
  <c r="O971" i="7"/>
  <c r="P971" i="7" s="1"/>
  <c r="N971" i="7"/>
  <c r="M971" i="7"/>
  <c r="L971" i="7"/>
  <c r="Q970" i="7"/>
  <c r="O970" i="7"/>
  <c r="P970" i="7" s="1"/>
  <c r="N970" i="7"/>
  <c r="M970" i="7"/>
  <c r="L970" i="7"/>
  <c r="Q969" i="7"/>
  <c r="O969" i="7"/>
  <c r="P969" i="7" s="1"/>
  <c r="N969" i="7"/>
  <c r="M969" i="7"/>
  <c r="L969" i="7"/>
  <c r="Q968" i="7"/>
  <c r="O968" i="7"/>
  <c r="P968" i="7" s="1"/>
  <c r="N968" i="7"/>
  <c r="M968" i="7"/>
  <c r="L968" i="7"/>
  <c r="Q967" i="7"/>
  <c r="O967" i="7"/>
  <c r="P967" i="7" s="1"/>
  <c r="N967" i="7"/>
  <c r="M967" i="7"/>
  <c r="L967" i="7"/>
  <c r="Q966" i="7"/>
  <c r="O966" i="7"/>
  <c r="P966" i="7" s="1"/>
  <c r="N966" i="7"/>
  <c r="M966" i="7"/>
  <c r="L966" i="7"/>
  <c r="Q965" i="7"/>
  <c r="O965" i="7"/>
  <c r="P965" i="7" s="1"/>
  <c r="N965" i="7"/>
  <c r="M965" i="7"/>
  <c r="L965" i="7"/>
  <c r="Q964" i="7"/>
  <c r="O964" i="7"/>
  <c r="P964" i="7" s="1"/>
  <c r="N964" i="7"/>
  <c r="M964" i="7"/>
  <c r="L964" i="7"/>
  <c r="Q963" i="7"/>
  <c r="O963" i="7"/>
  <c r="P963" i="7" s="1"/>
  <c r="N963" i="7"/>
  <c r="M963" i="7"/>
  <c r="L963" i="7"/>
  <c r="Q962" i="7"/>
  <c r="O962" i="7"/>
  <c r="P962" i="7" s="1"/>
  <c r="N962" i="7"/>
  <c r="M962" i="7"/>
  <c r="L962" i="7"/>
  <c r="Q961" i="7"/>
  <c r="O961" i="7"/>
  <c r="P961" i="7" s="1"/>
  <c r="N961" i="7"/>
  <c r="M961" i="7"/>
  <c r="L961" i="7"/>
  <c r="Q960" i="7"/>
  <c r="O960" i="7"/>
  <c r="P960" i="7" s="1"/>
  <c r="N960" i="7"/>
  <c r="M960" i="7"/>
  <c r="L960" i="7"/>
  <c r="Q959" i="7"/>
  <c r="O959" i="7"/>
  <c r="P959" i="7" s="1"/>
  <c r="N959" i="7"/>
  <c r="M959" i="7"/>
  <c r="L959" i="7"/>
  <c r="Q958" i="7"/>
  <c r="O958" i="7"/>
  <c r="P958" i="7" s="1"/>
  <c r="N958" i="7"/>
  <c r="M958" i="7"/>
  <c r="L958" i="7"/>
  <c r="Q957" i="7"/>
  <c r="O957" i="7"/>
  <c r="P957" i="7" s="1"/>
  <c r="N957" i="7"/>
  <c r="M957" i="7"/>
  <c r="L957" i="7"/>
  <c r="Q956" i="7"/>
  <c r="O956" i="7"/>
  <c r="P956" i="7" s="1"/>
  <c r="N956" i="7"/>
  <c r="M956" i="7"/>
  <c r="L956" i="7"/>
  <c r="Q955" i="7"/>
  <c r="O955" i="7"/>
  <c r="P955" i="7" s="1"/>
  <c r="N955" i="7"/>
  <c r="M955" i="7"/>
  <c r="L955" i="7"/>
  <c r="Q954" i="7"/>
  <c r="O954" i="7"/>
  <c r="P954" i="7" s="1"/>
  <c r="N954" i="7"/>
  <c r="M954" i="7"/>
  <c r="L954" i="7"/>
  <c r="Q953" i="7"/>
  <c r="O953" i="7"/>
  <c r="P953" i="7" s="1"/>
  <c r="N953" i="7"/>
  <c r="M953" i="7"/>
  <c r="L953" i="7"/>
  <c r="Q952" i="7"/>
  <c r="O952" i="7"/>
  <c r="P952" i="7" s="1"/>
  <c r="N952" i="7"/>
  <c r="M952" i="7"/>
  <c r="L952" i="7"/>
  <c r="Q951" i="7"/>
  <c r="O951" i="7"/>
  <c r="P951" i="7" s="1"/>
  <c r="N951" i="7"/>
  <c r="M951" i="7"/>
  <c r="L951" i="7"/>
  <c r="Q950" i="7"/>
  <c r="O950" i="7"/>
  <c r="P950" i="7" s="1"/>
  <c r="N950" i="7"/>
  <c r="M950" i="7"/>
  <c r="L950" i="7"/>
  <c r="Q949" i="7"/>
  <c r="O949" i="7"/>
  <c r="P949" i="7" s="1"/>
  <c r="N949" i="7"/>
  <c r="M949" i="7"/>
  <c r="L949" i="7"/>
  <c r="Q948" i="7"/>
  <c r="O948" i="7"/>
  <c r="P948" i="7" s="1"/>
  <c r="N948" i="7"/>
  <c r="M948" i="7"/>
  <c r="L948" i="7"/>
  <c r="Q947" i="7"/>
  <c r="O947" i="7"/>
  <c r="P947" i="7" s="1"/>
  <c r="N947" i="7"/>
  <c r="M947" i="7"/>
  <c r="L947" i="7"/>
  <c r="Q946" i="7"/>
  <c r="O946" i="7"/>
  <c r="P946" i="7" s="1"/>
  <c r="N946" i="7"/>
  <c r="M946" i="7"/>
  <c r="L946" i="7"/>
  <c r="Q945" i="7"/>
  <c r="O945" i="7"/>
  <c r="P945" i="7" s="1"/>
  <c r="N945" i="7"/>
  <c r="M945" i="7"/>
  <c r="L945" i="7"/>
  <c r="Q944" i="7"/>
  <c r="O944" i="7"/>
  <c r="P944" i="7" s="1"/>
  <c r="N944" i="7"/>
  <c r="M944" i="7"/>
  <c r="L944" i="7"/>
  <c r="Q943" i="7"/>
  <c r="O943" i="7"/>
  <c r="P943" i="7" s="1"/>
  <c r="N943" i="7"/>
  <c r="M943" i="7"/>
  <c r="L943" i="7"/>
  <c r="Q942" i="7"/>
  <c r="O942" i="7"/>
  <c r="P942" i="7" s="1"/>
  <c r="N942" i="7"/>
  <c r="M942" i="7"/>
  <c r="L942" i="7"/>
  <c r="Q941" i="7"/>
  <c r="O941" i="7"/>
  <c r="P941" i="7" s="1"/>
  <c r="N941" i="7"/>
  <c r="M941" i="7"/>
  <c r="L941" i="7"/>
  <c r="Q940" i="7"/>
  <c r="O940" i="7"/>
  <c r="P940" i="7" s="1"/>
  <c r="N940" i="7"/>
  <c r="M940" i="7"/>
  <c r="L940" i="7"/>
  <c r="Q939" i="7"/>
  <c r="O939" i="7"/>
  <c r="P939" i="7" s="1"/>
  <c r="N939" i="7"/>
  <c r="M939" i="7"/>
  <c r="L939" i="7"/>
  <c r="Q938" i="7"/>
  <c r="O938" i="7"/>
  <c r="P938" i="7" s="1"/>
  <c r="N938" i="7"/>
  <c r="M938" i="7"/>
  <c r="L938" i="7"/>
  <c r="Q937" i="7"/>
  <c r="O937" i="7"/>
  <c r="P937" i="7" s="1"/>
  <c r="N937" i="7"/>
  <c r="M937" i="7"/>
  <c r="L937" i="7"/>
  <c r="Q936" i="7"/>
  <c r="O936" i="7"/>
  <c r="P936" i="7" s="1"/>
  <c r="N936" i="7"/>
  <c r="M936" i="7"/>
  <c r="L936" i="7"/>
  <c r="Q935" i="7"/>
  <c r="O935" i="7"/>
  <c r="P935" i="7" s="1"/>
  <c r="N935" i="7"/>
  <c r="M935" i="7"/>
  <c r="L935" i="7"/>
  <c r="Q934" i="7"/>
  <c r="O934" i="7"/>
  <c r="P934" i="7" s="1"/>
  <c r="N934" i="7"/>
  <c r="M934" i="7"/>
  <c r="L934" i="7"/>
  <c r="Q933" i="7"/>
  <c r="O933" i="7"/>
  <c r="P933" i="7" s="1"/>
  <c r="N933" i="7"/>
  <c r="M933" i="7"/>
  <c r="L933" i="7"/>
  <c r="Q932" i="7"/>
  <c r="O932" i="7"/>
  <c r="P932" i="7" s="1"/>
  <c r="N932" i="7"/>
  <c r="M932" i="7"/>
  <c r="L932" i="7"/>
  <c r="Q931" i="7"/>
  <c r="O931" i="7"/>
  <c r="P931" i="7" s="1"/>
  <c r="N931" i="7"/>
  <c r="M931" i="7"/>
  <c r="L931" i="7"/>
  <c r="Q930" i="7"/>
  <c r="O930" i="7"/>
  <c r="P930" i="7" s="1"/>
  <c r="N930" i="7"/>
  <c r="M930" i="7"/>
  <c r="L930" i="7"/>
  <c r="Q929" i="7"/>
  <c r="O929" i="7"/>
  <c r="P929" i="7" s="1"/>
  <c r="N929" i="7"/>
  <c r="M929" i="7"/>
  <c r="L929" i="7"/>
  <c r="Q928" i="7"/>
  <c r="O928" i="7"/>
  <c r="P928" i="7" s="1"/>
  <c r="N928" i="7"/>
  <c r="M928" i="7"/>
  <c r="L928" i="7"/>
  <c r="Q927" i="7"/>
  <c r="O927" i="7"/>
  <c r="P927" i="7" s="1"/>
  <c r="N927" i="7"/>
  <c r="M927" i="7"/>
  <c r="L927" i="7"/>
  <c r="Q926" i="7"/>
  <c r="O926" i="7"/>
  <c r="P926" i="7" s="1"/>
  <c r="N926" i="7"/>
  <c r="M926" i="7"/>
  <c r="L926" i="7"/>
  <c r="Q925" i="7"/>
  <c r="O925" i="7"/>
  <c r="P925" i="7" s="1"/>
  <c r="N925" i="7"/>
  <c r="M925" i="7"/>
  <c r="L925" i="7"/>
  <c r="Q924" i="7"/>
  <c r="O924" i="7"/>
  <c r="P924" i="7" s="1"/>
  <c r="N924" i="7"/>
  <c r="M924" i="7"/>
  <c r="L924" i="7"/>
  <c r="Q923" i="7"/>
  <c r="O923" i="7"/>
  <c r="P923" i="7" s="1"/>
  <c r="N923" i="7"/>
  <c r="M923" i="7"/>
  <c r="L923" i="7"/>
  <c r="Q922" i="7"/>
  <c r="O922" i="7"/>
  <c r="P922" i="7" s="1"/>
  <c r="N922" i="7"/>
  <c r="M922" i="7"/>
  <c r="L922" i="7"/>
  <c r="Q921" i="7"/>
  <c r="O921" i="7"/>
  <c r="P921" i="7" s="1"/>
  <c r="N921" i="7"/>
  <c r="M921" i="7"/>
  <c r="L921" i="7"/>
  <c r="Q920" i="7"/>
  <c r="O920" i="7"/>
  <c r="P920" i="7" s="1"/>
  <c r="N920" i="7"/>
  <c r="M920" i="7"/>
  <c r="L920" i="7"/>
  <c r="Q919" i="7"/>
  <c r="O919" i="7"/>
  <c r="P919" i="7" s="1"/>
  <c r="N919" i="7"/>
  <c r="M919" i="7"/>
  <c r="L919" i="7"/>
  <c r="Q918" i="7"/>
  <c r="O918" i="7"/>
  <c r="P918" i="7" s="1"/>
  <c r="N918" i="7"/>
  <c r="M918" i="7"/>
  <c r="L918" i="7"/>
  <c r="Q917" i="7"/>
  <c r="O917" i="7"/>
  <c r="P917" i="7" s="1"/>
  <c r="N917" i="7"/>
  <c r="M917" i="7"/>
  <c r="L917" i="7"/>
  <c r="Q916" i="7"/>
  <c r="O916" i="7"/>
  <c r="P916" i="7" s="1"/>
  <c r="N916" i="7"/>
  <c r="M916" i="7"/>
  <c r="L916" i="7"/>
  <c r="Q915" i="7"/>
  <c r="O915" i="7"/>
  <c r="P915" i="7" s="1"/>
  <c r="N915" i="7"/>
  <c r="M915" i="7"/>
  <c r="L915" i="7"/>
  <c r="Q914" i="7"/>
  <c r="O914" i="7"/>
  <c r="P914" i="7" s="1"/>
  <c r="N914" i="7"/>
  <c r="M914" i="7"/>
  <c r="L914" i="7"/>
  <c r="Q913" i="7"/>
  <c r="O913" i="7"/>
  <c r="P913" i="7" s="1"/>
  <c r="N913" i="7"/>
  <c r="M913" i="7"/>
  <c r="L913" i="7"/>
  <c r="Q912" i="7"/>
  <c r="O912" i="7"/>
  <c r="P912" i="7" s="1"/>
  <c r="N912" i="7"/>
  <c r="M912" i="7"/>
  <c r="L912" i="7"/>
  <c r="Q911" i="7"/>
  <c r="O911" i="7"/>
  <c r="P911" i="7" s="1"/>
  <c r="N911" i="7"/>
  <c r="M911" i="7"/>
  <c r="L911" i="7"/>
  <c r="Q910" i="7"/>
  <c r="O910" i="7"/>
  <c r="P910" i="7" s="1"/>
  <c r="N910" i="7"/>
  <c r="M910" i="7"/>
  <c r="L910" i="7"/>
  <c r="Q909" i="7"/>
  <c r="O909" i="7"/>
  <c r="P909" i="7" s="1"/>
  <c r="N909" i="7"/>
  <c r="M909" i="7"/>
  <c r="L909" i="7"/>
  <c r="Q908" i="7"/>
  <c r="O908" i="7"/>
  <c r="P908" i="7" s="1"/>
  <c r="N908" i="7"/>
  <c r="M908" i="7"/>
  <c r="L908" i="7"/>
  <c r="Q907" i="7"/>
  <c r="O907" i="7"/>
  <c r="P907" i="7" s="1"/>
  <c r="N907" i="7"/>
  <c r="M907" i="7"/>
  <c r="L907" i="7"/>
  <c r="Q906" i="7"/>
  <c r="O906" i="7"/>
  <c r="P906" i="7" s="1"/>
  <c r="N906" i="7"/>
  <c r="M906" i="7"/>
  <c r="L906" i="7"/>
  <c r="Q905" i="7"/>
  <c r="O905" i="7"/>
  <c r="P905" i="7" s="1"/>
  <c r="N905" i="7"/>
  <c r="M905" i="7"/>
  <c r="L905" i="7"/>
  <c r="Q904" i="7"/>
  <c r="O904" i="7"/>
  <c r="P904" i="7" s="1"/>
  <c r="N904" i="7"/>
  <c r="M904" i="7"/>
  <c r="L904" i="7"/>
  <c r="Q903" i="7"/>
  <c r="O903" i="7"/>
  <c r="P903" i="7" s="1"/>
  <c r="N903" i="7"/>
  <c r="M903" i="7"/>
  <c r="L903" i="7"/>
  <c r="Q902" i="7"/>
  <c r="O902" i="7"/>
  <c r="P902" i="7" s="1"/>
  <c r="N902" i="7"/>
  <c r="M902" i="7"/>
  <c r="L902" i="7"/>
  <c r="Q901" i="7"/>
  <c r="O901" i="7"/>
  <c r="P901" i="7" s="1"/>
  <c r="N901" i="7"/>
  <c r="M901" i="7"/>
  <c r="L901" i="7"/>
  <c r="Q900" i="7"/>
  <c r="O900" i="7"/>
  <c r="P900" i="7" s="1"/>
  <c r="N900" i="7"/>
  <c r="M900" i="7"/>
  <c r="L900" i="7"/>
  <c r="Q899" i="7"/>
  <c r="O899" i="7"/>
  <c r="P899" i="7" s="1"/>
  <c r="N899" i="7"/>
  <c r="M899" i="7"/>
  <c r="L899" i="7"/>
  <c r="Q898" i="7"/>
  <c r="O898" i="7"/>
  <c r="P898" i="7" s="1"/>
  <c r="N898" i="7"/>
  <c r="M898" i="7"/>
  <c r="L898" i="7"/>
  <c r="Q897" i="7"/>
  <c r="O897" i="7"/>
  <c r="P897" i="7" s="1"/>
  <c r="N897" i="7"/>
  <c r="M897" i="7"/>
  <c r="L897" i="7"/>
  <c r="Q896" i="7"/>
  <c r="O896" i="7"/>
  <c r="P896" i="7" s="1"/>
  <c r="N896" i="7"/>
  <c r="M896" i="7"/>
  <c r="L896" i="7"/>
  <c r="Q895" i="7"/>
  <c r="O895" i="7"/>
  <c r="P895" i="7" s="1"/>
  <c r="N895" i="7"/>
  <c r="M895" i="7"/>
  <c r="L895" i="7"/>
  <c r="Q894" i="7"/>
  <c r="O894" i="7"/>
  <c r="P894" i="7" s="1"/>
  <c r="N894" i="7"/>
  <c r="M894" i="7"/>
  <c r="L894" i="7"/>
  <c r="Q893" i="7"/>
  <c r="O893" i="7"/>
  <c r="P893" i="7" s="1"/>
  <c r="N893" i="7"/>
  <c r="M893" i="7"/>
  <c r="L893" i="7"/>
  <c r="Q892" i="7"/>
  <c r="O892" i="7"/>
  <c r="P892" i="7" s="1"/>
  <c r="N892" i="7"/>
  <c r="M892" i="7"/>
  <c r="L892" i="7"/>
  <c r="Q891" i="7"/>
  <c r="O891" i="7"/>
  <c r="P891" i="7" s="1"/>
  <c r="N891" i="7"/>
  <c r="M891" i="7"/>
  <c r="L891" i="7"/>
  <c r="Q890" i="7"/>
  <c r="O890" i="7"/>
  <c r="P890" i="7" s="1"/>
  <c r="N890" i="7"/>
  <c r="M890" i="7"/>
  <c r="L890" i="7"/>
  <c r="Q889" i="7"/>
  <c r="O889" i="7"/>
  <c r="P889" i="7" s="1"/>
  <c r="N889" i="7"/>
  <c r="M889" i="7"/>
  <c r="L889" i="7"/>
  <c r="Q888" i="7"/>
  <c r="O888" i="7"/>
  <c r="P888" i="7" s="1"/>
  <c r="N888" i="7"/>
  <c r="M888" i="7"/>
  <c r="L888" i="7"/>
  <c r="Q887" i="7"/>
  <c r="O887" i="7"/>
  <c r="P887" i="7" s="1"/>
  <c r="N887" i="7"/>
  <c r="M887" i="7"/>
  <c r="L887" i="7"/>
  <c r="Q886" i="7"/>
  <c r="O886" i="7"/>
  <c r="P886" i="7" s="1"/>
  <c r="N886" i="7"/>
  <c r="M886" i="7"/>
  <c r="L886" i="7"/>
  <c r="Q885" i="7"/>
  <c r="O885" i="7"/>
  <c r="P885" i="7" s="1"/>
  <c r="N885" i="7"/>
  <c r="M885" i="7"/>
  <c r="L885" i="7"/>
  <c r="Q884" i="7"/>
  <c r="O884" i="7"/>
  <c r="P884" i="7" s="1"/>
  <c r="N884" i="7"/>
  <c r="M884" i="7"/>
  <c r="L884" i="7"/>
  <c r="Q883" i="7"/>
  <c r="O883" i="7"/>
  <c r="P883" i="7" s="1"/>
  <c r="N883" i="7"/>
  <c r="M883" i="7"/>
  <c r="L883" i="7"/>
  <c r="Q882" i="7"/>
  <c r="O882" i="7"/>
  <c r="P882" i="7" s="1"/>
  <c r="N882" i="7"/>
  <c r="M882" i="7"/>
  <c r="L882" i="7"/>
  <c r="Q881" i="7"/>
  <c r="O881" i="7"/>
  <c r="P881" i="7" s="1"/>
  <c r="N881" i="7"/>
  <c r="M881" i="7"/>
  <c r="L881" i="7"/>
  <c r="Q880" i="7"/>
  <c r="O880" i="7"/>
  <c r="P880" i="7" s="1"/>
  <c r="N880" i="7"/>
  <c r="M880" i="7"/>
  <c r="L880" i="7"/>
  <c r="Q879" i="7"/>
  <c r="O879" i="7"/>
  <c r="P879" i="7" s="1"/>
  <c r="N879" i="7"/>
  <c r="M879" i="7"/>
  <c r="L879" i="7"/>
  <c r="Q878" i="7"/>
  <c r="O878" i="7"/>
  <c r="P878" i="7" s="1"/>
  <c r="N878" i="7"/>
  <c r="M878" i="7"/>
  <c r="L878" i="7"/>
  <c r="Q877" i="7"/>
  <c r="O877" i="7"/>
  <c r="P877" i="7" s="1"/>
  <c r="N877" i="7"/>
  <c r="M877" i="7"/>
  <c r="L877" i="7"/>
  <c r="Q876" i="7"/>
  <c r="O876" i="7"/>
  <c r="P876" i="7" s="1"/>
  <c r="N876" i="7"/>
  <c r="M876" i="7"/>
  <c r="L876" i="7"/>
  <c r="Q875" i="7"/>
  <c r="O875" i="7"/>
  <c r="P875" i="7" s="1"/>
  <c r="N875" i="7"/>
  <c r="M875" i="7"/>
  <c r="L875" i="7"/>
  <c r="Q874" i="7"/>
  <c r="O874" i="7"/>
  <c r="P874" i="7" s="1"/>
  <c r="N874" i="7"/>
  <c r="M874" i="7"/>
  <c r="L874" i="7"/>
  <c r="Q873" i="7"/>
  <c r="O873" i="7"/>
  <c r="P873" i="7" s="1"/>
  <c r="N873" i="7"/>
  <c r="M873" i="7"/>
  <c r="L873" i="7"/>
  <c r="Q872" i="7"/>
  <c r="O872" i="7"/>
  <c r="P872" i="7" s="1"/>
  <c r="N872" i="7"/>
  <c r="M872" i="7"/>
  <c r="L872" i="7"/>
  <c r="Q871" i="7"/>
  <c r="O871" i="7"/>
  <c r="P871" i="7" s="1"/>
  <c r="N871" i="7"/>
  <c r="M871" i="7"/>
  <c r="L871" i="7"/>
  <c r="Q870" i="7"/>
  <c r="O870" i="7"/>
  <c r="P870" i="7" s="1"/>
  <c r="N870" i="7"/>
  <c r="M870" i="7"/>
  <c r="L870" i="7"/>
  <c r="Q869" i="7"/>
  <c r="O869" i="7"/>
  <c r="P869" i="7" s="1"/>
  <c r="N869" i="7"/>
  <c r="M869" i="7"/>
  <c r="L869" i="7"/>
  <c r="Q868" i="7"/>
  <c r="O868" i="7"/>
  <c r="P868" i="7" s="1"/>
  <c r="N868" i="7"/>
  <c r="M868" i="7"/>
  <c r="L868" i="7"/>
  <c r="Q867" i="7"/>
  <c r="O867" i="7"/>
  <c r="P867" i="7" s="1"/>
  <c r="N867" i="7"/>
  <c r="M867" i="7"/>
  <c r="L867" i="7"/>
  <c r="Q866" i="7"/>
  <c r="O866" i="7"/>
  <c r="P866" i="7" s="1"/>
  <c r="N866" i="7"/>
  <c r="M866" i="7"/>
  <c r="L866" i="7"/>
  <c r="Q865" i="7"/>
  <c r="O865" i="7"/>
  <c r="P865" i="7" s="1"/>
  <c r="N865" i="7"/>
  <c r="M865" i="7"/>
  <c r="L865" i="7"/>
  <c r="Q864" i="7"/>
  <c r="O864" i="7"/>
  <c r="P864" i="7" s="1"/>
  <c r="N864" i="7"/>
  <c r="M864" i="7"/>
  <c r="L864" i="7"/>
  <c r="Q863" i="7"/>
  <c r="O863" i="7"/>
  <c r="P863" i="7" s="1"/>
  <c r="N863" i="7"/>
  <c r="M863" i="7"/>
  <c r="L863" i="7"/>
  <c r="Q862" i="7"/>
  <c r="O862" i="7"/>
  <c r="P862" i="7" s="1"/>
  <c r="N862" i="7"/>
  <c r="M862" i="7"/>
  <c r="L862" i="7"/>
  <c r="Q861" i="7"/>
  <c r="O861" i="7"/>
  <c r="P861" i="7" s="1"/>
  <c r="N861" i="7"/>
  <c r="M861" i="7"/>
  <c r="L861" i="7"/>
  <c r="Q860" i="7"/>
  <c r="O860" i="7"/>
  <c r="P860" i="7" s="1"/>
  <c r="N860" i="7"/>
  <c r="M860" i="7"/>
  <c r="L860" i="7"/>
  <c r="Q859" i="7"/>
  <c r="O859" i="7"/>
  <c r="P859" i="7" s="1"/>
  <c r="N859" i="7"/>
  <c r="M859" i="7"/>
  <c r="L859" i="7"/>
  <c r="Q858" i="7"/>
  <c r="O858" i="7"/>
  <c r="P858" i="7" s="1"/>
  <c r="N858" i="7"/>
  <c r="M858" i="7"/>
  <c r="L858" i="7"/>
  <c r="Q857" i="7"/>
  <c r="O857" i="7"/>
  <c r="P857" i="7" s="1"/>
  <c r="N857" i="7"/>
  <c r="M857" i="7"/>
  <c r="L857" i="7"/>
  <c r="Q856" i="7"/>
  <c r="O856" i="7"/>
  <c r="P856" i="7" s="1"/>
  <c r="N856" i="7"/>
  <c r="M856" i="7"/>
  <c r="L856" i="7"/>
  <c r="Q855" i="7"/>
  <c r="O855" i="7"/>
  <c r="P855" i="7" s="1"/>
  <c r="N855" i="7"/>
  <c r="M855" i="7"/>
  <c r="L855" i="7"/>
  <c r="Q854" i="7"/>
  <c r="O854" i="7"/>
  <c r="P854" i="7" s="1"/>
  <c r="N854" i="7"/>
  <c r="M854" i="7"/>
  <c r="L854" i="7"/>
  <c r="Q853" i="7"/>
  <c r="O853" i="7"/>
  <c r="P853" i="7" s="1"/>
  <c r="N853" i="7"/>
  <c r="M853" i="7"/>
  <c r="L853" i="7"/>
  <c r="Q852" i="7"/>
  <c r="O852" i="7"/>
  <c r="P852" i="7" s="1"/>
  <c r="N852" i="7"/>
  <c r="M852" i="7"/>
  <c r="L852" i="7"/>
  <c r="Q851" i="7"/>
  <c r="O851" i="7"/>
  <c r="P851" i="7" s="1"/>
  <c r="N851" i="7"/>
  <c r="M851" i="7"/>
  <c r="L851" i="7"/>
  <c r="Q850" i="7"/>
  <c r="O850" i="7"/>
  <c r="P850" i="7" s="1"/>
  <c r="N850" i="7"/>
  <c r="M850" i="7"/>
  <c r="L850" i="7"/>
  <c r="Q849" i="7"/>
  <c r="O849" i="7"/>
  <c r="P849" i="7" s="1"/>
  <c r="N849" i="7"/>
  <c r="M849" i="7"/>
  <c r="L849" i="7"/>
  <c r="Q848" i="7"/>
  <c r="O848" i="7"/>
  <c r="P848" i="7" s="1"/>
  <c r="N848" i="7"/>
  <c r="M848" i="7"/>
  <c r="L848" i="7"/>
  <c r="Q847" i="7"/>
  <c r="O847" i="7"/>
  <c r="P847" i="7" s="1"/>
  <c r="N847" i="7"/>
  <c r="M847" i="7"/>
  <c r="L847" i="7"/>
  <c r="Q846" i="7"/>
  <c r="O846" i="7"/>
  <c r="P846" i="7" s="1"/>
  <c r="N846" i="7"/>
  <c r="M846" i="7"/>
  <c r="L846" i="7"/>
  <c r="Q845" i="7"/>
  <c r="O845" i="7"/>
  <c r="P845" i="7" s="1"/>
  <c r="N845" i="7"/>
  <c r="M845" i="7"/>
  <c r="L845" i="7"/>
  <c r="Q844" i="7"/>
  <c r="O844" i="7"/>
  <c r="P844" i="7" s="1"/>
  <c r="N844" i="7"/>
  <c r="M844" i="7"/>
  <c r="L844" i="7"/>
  <c r="Q843" i="7"/>
  <c r="O843" i="7"/>
  <c r="P843" i="7" s="1"/>
  <c r="N843" i="7"/>
  <c r="M843" i="7"/>
  <c r="L843" i="7"/>
  <c r="Q842" i="7"/>
  <c r="O842" i="7"/>
  <c r="P842" i="7" s="1"/>
  <c r="N842" i="7"/>
  <c r="M842" i="7"/>
  <c r="L842" i="7"/>
  <c r="Q841" i="7"/>
  <c r="O841" i="7"/>
  <c r="P841" i="7" s="1"/>
  <c r="N841" i="7"/>
  <c r="M841" i="7"/>
  <c r="L841" i="7"/>
  <c r="Q840" i="7"/>
  <c r="O840" i="7"/>
  <c r="P840" i="7" s="1"/>
  <c r="N840" i="7"/>
  <c r="M840" i="7"/>
  <c r="L840" i="7"/>
  <c r="Q839" i="7"/>
  <c r="O839" i="7"/>
  <c r="P839" i="7" s="1"/>
  <c r="N839" i="7"/>
  <c r="M839" i="7"/>
  <c r="L839" i="7"/>
  <c r="Q838" i="7"/>
  <c r="O838" i="7"/>
  <c r="P838" i="7" s="1"/>
  <c r="N838" i="7"/>
  <c r="M838" i="7"/>
  <c r="L838" i="7"/>
  <c r="Q837" i="7"/>
  <c r="O837" i="7"/>
  <c r="P837" i="7" s="1"/>
  <c r="N837" i="7"/>
  <c r="M837" i="7"/>
  <c r="L837" i="7"/>
  <c r="Q836" i="7"/>
  <c r="O836" i="7"/>
  <c r="P836" i="7" s="1"/>
  <c r="N836" i="7"/>
  <c r="M836" i="7"/>
  <c r="L836" i="7"/>
  <c r="Q835" i="7"/>
  <c r="O835" i="7"/>
  <c r="P835" i="7" s="1"/>
  <c r="N835" i="7"/>
  <c r="M835" i="7"/>
  <c r="L835" i="7"/>
  <c r="Q834" i="7"/>
  <c r="O834" i="7"/>
  <c r="P834" i="7" s="1"/>
  <c r="N834" i="7"/>
  <c r="M834" i="7"/>
  <c r="L834" i="7"/>
  <c r="Q833" i="7"/>
  <c r="O833" i="7"/>
  <c r="P833" i="7" s="1"/>
  <c r="N833" i="7"/>
  <c r="M833" i="7"/>
  <c r="L833" i="7"/>
  <c r="Q832" i="7"/>
  <c r="O832" i="7"/>
  <c r="P832" i="7" s="1"/>
  <c r="N832" i="7"/>
  <c r="M832" i="7"/>
  <c r="L832" i="7"/>
  <c r="Q831" i="7"/>
  <c r="O831" i="7"/>
  <c r="P831" i="7" s="1"/>
  <c r="N831" i="7"/>
  <c r="M831" i="7"/>
  <c r="L831" i="7"/>
  <c r="Q830" i="7"/>
  <c r="O830" i="7"/>
  <c r="P830" i="7" s="1"/>
  <c r="N830" i="7"/>
  <c r="M830" i="7"/>
  <c r="L830" i="7"/>
  <c r="Q829" i="7"/>
  <c r="O829" i="7"/>
  <c r="P829" i="7" s="1"/>
  <c r="N829" i="7"/>
  <c r="M829" i="7"/>
  <c r="L829" i="7"/>
  <c r="Q828" i="7"/>
  <c r="O828" i="7"/>
  <c r="P828" i="7" s="1"/>
  <c r="N828" i="7"/>
  <c r="M828" i="7"/>
  <c r="L828" i="7"/>
  <c r="Q827" i="7"/>
  <c r="O827" i="7"/>
  <c r="P827" i="7" s="1"/>
  <c r="N827" i="7"/>
  <c r="M827" i="7"/>
  <c r="L827" i="7"/>
  <c r="Q826" i="7"/>
  <c r="O826" i="7"/>
  <c r="P826" i="7" s="1"/>
  <c r="N826" i="7"/>
  <c r="M826" i="7"/>
  <c r="L826" i="7"/>
  <c r="Q825" i="7"/>
  <c r="O825" i="7"/>
  <c r="P825" i="7" s="1"/>
  <c r="N825" i="7"/>
  <c r="M825" i="7"/>
  <c r="L825" i="7"/>
  <c r="Q824" i="7"/>
  <c r="O824" i="7"/>
  <c r="P824" i="7" s="1"/>
  <c r="N824" i="7"/>
  <c r="M824" i="7"/>
  <c r="L824" i="7"/>
  <c r="Q823" i="7"/>
  <c r="O823" i="7"/>
  <c r="P823" i="7" s="1"/>
  <c r="N823" i="7"/>
  <c r="M823" i="7"/>
  <c r="L823" i="7"/>
  <c r="Q822" i="7"/>
  <c r="O822" i="7"/>
  <c r="P822" i="7" s="1"/>
  <c r="N822" i="7"/>
  <c r="M822" i="7"/>
  <c r="L822" i="7"/>
  <c r="Q821" i="7"/>
  <c r="O821" i="7"/>
  <c r="P821" i="7" s="1"/>
  <c r="N821" i="7"/>
  <c r="M821" i="7"/>
  <c r="L821" i="7"/>
  <c r="Q820" i="7"/>
  <c r="O820" i="7"/>
  <c r="P820" i="7" s="1"/>
  <c r="N820" i="7"/>
  <c r="M820" i="7"/>
  <c r="L820" i="7"/>
  <c r="Q819" i="7"/>
  <c r="O819" i="7"/>
  <c r="P819" i="7" s="1"/>
  <c r="N819" i="7"/>
  <c r="M819" i="7"/>
  <c r="L819" i="7"/>
  <c r="Q818" i="7"/>
  <c r="O818" i="7"/>
  <c r="P818" i="7" s="1"/>
  <c r="N818" i="7"/>
  <c r="M818" i="7"/>
  <c r="L818" i="7"/>
  <c r="Q817" i="7"/>
  <c r="O817" i="7"/>
  <c r="P817" i="7" s="1"/>
  <c r="N817" i="7"/>
  <c r="M817" i="7"/>
  <c r="L817" i="7"/>
  <c r="Q816" i="7"/>
  <c r="O816" i="7"/>
  <c r="P816" i="7" s="1"/>
  <c r="N816" i="7"/>
  <c r="M816" i="7"/>
  <c r="L816" i="7"/>
  <c r="Q815" i="7"/>
  <c r="O815" i="7"/>
  <c r="P815" i="7" s="1"/>
  <c r="N815" i="7"/>
  <c r="M815" i="7"/>
  <c r="L815" i="7"/>
  <c r="Q814" i="7"/>
  <c r="O814" i="7"/>
  <c r="P814" i="7" s="1"/>
  <c r="N814" i="7"/>
  <c r="M814" i="7"/>
  <c r="L814" i="7"/>
  <c r="Q813" i="7"/>
  <c r="O813" i="7"/>
  <c r="P813" i="7" s="1"/>
  <c r="N813" i="7"/>
  <c r="M813" i="7"/>
  <c r="L813" i="7"/>
  <c r="Q812" i="7"/>
  <c r="O812" i="7"/>
  <c r="P812" i="7" s="1"/>
  <c r="N812" i="7"/>
  <c r="M812" i="7"/>
  <c r="L812" i="7"/>
  <c r="Q811" i="7"/>
  <c r="O811" i="7"/>
  <c r="P811" i="7" s="1"/>
  <c r="N811" i="7"/>
  <c r="M811" i="7"/>
  <c r="L811" i="7"/>
  <c r="Q810" i="7"/>
  <c r="O810" i="7"/>
  <c r="P810" i="7" s="1"/>
  <c r="N810" i="7"/>
  <c r="M810" i="7"/>
  <c r="L810" i="7"/>
  <c r="Q809" i="7"/>
  <c r="O809" i="7"/>
  <c r="P809" i="7" s="1"/>
  <c r="N809" i="7"/>
  <c r="M809" i="7"/>
  <c r="L809" i="7"/>
  <c r="Q808" i="7"/>
  <c r="O808" i="7"/>
  <c r="P808" i="7" s="1"/>
  <c r="N808" i="7"/>
  <c r="M808" i="7"/>
  <c r="L808" i="7"/>
  <c r="Q807" i="7"/>
  <c r="O807" i="7"/>
  <c r="P807" i="7" s="1"/>
  <c r="N807" i="7"/>
  <c r="M807" i="7"/>
  <c r="L807" i="7"/>
  <c r="Q806" i="7"/>
  <c r="O806" i="7"/>
  <c r="P806" i="7" s="1"/>
  <c r="N806" i="7"/>
  <c r="M806" i="7"/>
  <c r="L806" i="7"/>
  <c r="Q805" i="7"/>
  <c r="O805" i="7"/>
  <c r="P805" i="7" s="1"/>
  <c r="N805" i="7"/>
  <c r="M805" i="7"/>
  <c r="L805" i="7"/>
  <c r="Q804" i="7"/>
  <c r="O804" i="7"/>
  <c r="P804" i="7" s="1"/>
  <c r="N804" i="7"/>
  <c r="M804" i="7"/>
  <c r="L804" i="7"/>
  <c r="Q803" i="7"/>
  <c r="O803" i="7"/>
  <c r="P803" i="7" s="1"/>
  <c r="N803" i="7"/>
  <c r="M803" i="7"/>
  <c r="L803" i="7"/>
  <c r="Q802" i="7"/>
  <c r="O802" i="7"/>
  <c r="P802" i="7" s="1"/>
  <c r="N802" i="7"/>
  <c r="M802" i="7"/>
  <c r="L802" i="7"/>
  <c r="Q801" i="7"/>
  <c r="O801" i="7"/>
  <c r="P801" i="7" s="1"/>
  <c r="N801" i="7"/>
  <c r="M801" i="7"/>
  <c r="L801" i="7"/>
  <c r="Q800" i="7"/>
  <c r="O800" i="7"/>
  <c r="P800" i="7" s="1"/>
  <c r="N800" i="7"/>
  <c r="M800" i="7"/>
  <c r="L800" i="7"/>
  <c r="Q799" i="7"/>
  <c r="O799" i="7"/>
  <c r="P799" i="7" s="1"/>
  <c r="N799" i="7"/>
  <c r="M799" i="7"/>
  <c r="L799" i="7"/>
  <c r="Q798" i="7"/>
  <c r="O798" i="7"/>
  <c r="P798" i="7" s="1"/>
  <c r="N798" i="7"/>
  <c r="M798" i="7"/>
  <c r="L798" i="7"/>
  <c r="Q797" i="7"/>
  <c r="O797" i="7"/>
  <c r="P797" i="7" s="1"/>
  <c r="N797" i="7"/>
  <c r="M797" i="7"/>
  <c r="L797" i="7"/>
  <c r="Q796" i="7"/>
  <c r="O796" i="7"/>
  <c r="P796" i="7" s="1"/>
  <c r="N796" i="7"/>
  <c r="M796" i="7"/>
  <c r="L796" i="7"/>
  <c r="Q795" i="7"/>
  <c r="O795" i="7"/>
  <c r="P795" i="7" s="1"/>
  <c r="N795" i="7"/>
  <c r="M795" i="7"/>
  <c r="L795" i="7"/>
  <c r="Q794" i="7"/>
  <c r="O794" i="7"/>
  <c r="P794" i="7" s="1"/>
  <c r="N794" i="7"/>
  <c r="M794" i="7"/>
  <c r="L794" i="7"/>
  <c r="Q793" i="7"/>
  <c r="O793" i="7"/>
  <c r="P793" i="7" s="1"/>
  <c r="N793" i="7"/>
  <c r="M793" i="7"/>
  <c r="L793" i="7"/>
  <c r="Q792" i="7"/>
  <c r="O792" i="7"/>
  <c r="P792" i="7" s="1"/>
  <c r="N792" i="7"/>
  <c r="M792" i="7"/>
  <c r="L792" i="7"/>
  <c r="Q791" i="7"/>
  <c r="O791" i="7"/>
  <c r="P791" i="7" s="1"/>
  <c r="N791" i="7"/>
  <c r="M791" i="7"/>
  <c r="L791" i="7"/>
  <c r="Q790" i="7"/>
  <c r="O790" i="7"/>
  <c r="P790" i="7" s="1"/>
  <c r="N790" i="7"/>
  <c r="M790" i="7"/>
  <c r="L790" i="7"/>
  <c r="Q789" i="7"/>
  <c r="O789" i="7"/>
  <c r="P789" i="7" s="1"/>
  <c r="N789" i="7"/>
  <c r="M789" i="7"/>
  <c r="L789" i="7"/>
  <c r="Q788" i="7"/>
  <c r="O788" i="7"/>
  <c r="P788" i="7" s="1"/>
  <c r="N788" i="7"/>
  <c r="M788" i="7"/>
  <c r="L788" i="7"/>
  <c r="Q787" i="7"/>
  <c r="O787" i="7"/>
  <c r="P787" i="7" s="1"/>
  <c r="N787" i="7"/>
  <c r="M787" i="7"/>
  <c r="L787" i="7"/>
  <c r="Q786" i="7"/>
  <c r="O786" i="7"/>
  <c r="P786" i="7" s="1"/>
  <c r="N786" i="7"/>
  <c r="M786" i="7"/>
  <c r="L786" i="7"/>
  <c r="Q785" i="7"/>
  <c r="O785" i="7"/>
  <c r="P785" i="7" s="1"/>
  <c r="N785" i="7"/>
  <c r="M785" i="7"/>
  <c r="L785" i="7"/>
  <c r="Q784" i="7"/>
  <c r="O784" i="7"/>
  <c r="P784" i="7" s="1"/>
  <c r="N784" i="7"/>
  <c r="M784" i="7"/>
  <c r="L784" i="7"/>
  <c r="Q783" i="7"/>
  <c r="O783" i="7"/>
  <c r="P783" i="7" s="1"/>
  <c r="N783" i="7"/>
  <c r="M783" i="7"/>
  <c r="L783" i="7"/>
  <c r="Q782" i="7"/>
  <c r="O782" i="7"/>
  <c r="P782" i="7" s="1"/>
  <c r="N782" i="7"/>
  <c r="M782" i="7"/>
  <c r="L782" i="7"/>
  <c r="Q781" i="7"/>
  <c r="O781" i="7"/>
  <c r="P781" i="7" s="1"/>
  <c r="N781" i="7"/>
  <c r="M781" i="7"/>
  <c r="L781" i="7"/>
  <c r="Q780" i="7"/>
  <c r="O780" i="7"/>
  <c r="P780" i="7" s="1"/>
  <c r="N780" i="7"/>
  <c r="M780" i="7"/>
  <c r="L780" i="7"/>
  <c r="Q779" i="7"/>
  <c r="O779" i="7"/>
  <c r="P779" i="7" s="1"/>
  <c r="N779" i="7"/>
  <c r="M779" i="7"/>
  <c r="L779" i="7"/>
  <c r="Q778" i="7"/>
  <c r="O778" i="7"/>
  <c r="P778" i="7" s="1"/>
  <c r="N778" i="7"/>
  <c r="M778" i="7"/>
  <c r="L778" i="7"/>
  <c r="Q777" i="7"/>
  <c r="O777" i="7"/>
  <c r="P777" i="7" s="1"/>
  <c r="N777" i="7"/>
  <c r="M777" i="7"/>
  <c r="L777" i="7"/>
  <c r="Q776" i="7"/>
  <c r="O776" i="7"/>
  <c r="P776" i="7" s="1"/>
  <c r="N776" i="7"/>
  <c r="M776" i="7"/>
  <c r="L776" i="7"/>
  <c r="Q775" i="7"/>
  <c r="O775" i="7"/>
  <c r="P775" i="7" s="1"/>
  <c r="N775" i="7"/>
  <c r="M775" i="7"/>
  <c r="L775" i="7"/>
  <c r="Q774" i="7"/>
  <c r="O774" i="7"/>
  <c r="P774" i="7" s="1"/>
  <c r="N774" i="7"/>
  <c r="M774" i="7"/>
  <c r="L774" i="7"/>
  <c r="Q773" i="7"/>
  <c r="O773" i="7"/>
  <c r="P773" i="7" s="1"/>
  <c r="N773" i="7"/>
  <c r="M773" i="7"/>
  <c r="L773" i="7"/>
  <c r="Q772" i="7"/>
  <c r="O772" i="7"/>
  <c r="P772" i="7" s="1"/>
  <c r="N772" i="7"/>
  <c r="M772" i="7"/>
  <c r="L772" i="7"/>
  <c r="Q771" i="7"/>
  <c r="O771" i="7"/>
  <c r="P771" i="7" s="1"/>
  <c r="N771" i="7"/>
  <c r="M771" i="7"/>
  <c r="L771" i="7"/>
  <c r="Q770" i="7"/>
  <c r="O770" i="7"/>
  <c r="P770" i="7" s="1"/>
  <c r="N770" i="7"/>
  <c r="M770" i="7"/>
  <c r="L770" i="7"/>
  <c r="Q769" i="7"/>
  <c r="O769" i="7"/>
  <c r="P769" i="7" s="1"/>
  <c r="N769" i="7"/>
  <c r="M769" i="7"/>
  <c r="L769" i="7"/>
  <c r="Q768" i="7"/>
  <c r="O768" i="7"/>
  <c r="P768" i="7" s="1"/>
  <c r="N768" i="7"/>
  <c r="M768" i="7"/>
  <c r="L768" i="7"/>
  <c r="Q767" i="7"/>
  <c r="O767" i="7"/>
  <c r="P767" i="7" s="1"/>
  <c r="N767" i="7"/>
  <c r="M767" i="7"/>
  <c r="L767" i="7"/>
  <c r="Q766" i="7"/>
  <c r="O766" i="7"/>
  <c r="P766" i="7" s="1"/>
  <c r="N766" i="7"/>
  <c r="M766" i="7"/>
  <c r="L766" i="7"/>
  <c r="Q765" i="7"/>
  <c r="O765" i="7"/>
  <c r="P765" i="7" s="1"/>
  <c r="N765" i="7"/>
  <c r="M765" i="7"/>
  <c r="L765" i="7"/>
  <c r="Q764" i="7"/>
  <c r="O764" i="7"/>
  <c r="P764" i="7" s="1"/>
  <c r="N764" i="7"/>
  <c r="M764" i="7"/>
  <c r="L764" i="7"/>
  <c r="Q763" i="7"/>
  <c r="O763" i="7"/>
  <c r="P763" i="7" s="1"/>
  <c r="N763" i="7"/>
  <c r="M763" i="7"/>
  <c r="L763" i="7"/>
  <c r="Q762" i="7"/>
  <c r="O762" i="7"/>
  <c r="P762" i="7" s="1"/>
  <c r="N762" i="7"/>
  <c r="M762" i="7"/>
  <c r="L762" i="7"/>
  <c r="Q761" i="7"/>
  <c r="O761" i="7"/>
  <c r="P761" i="7" s="1"/>
  <c r="N761" i="7"/>
  <c r="M761" i="7"/>
  <c r="L761" i="7"/>
  <c r="Q760" i="7"/>
  <c r="O760" i="7"/>
  <c r="P760" i="7" s="1"/>
  <c r="N760" i="7"/>
  <c r="M760" i="7"/>
  <c r="L760" i="7"/>
  <c r="Q759" i="7"/>
  <c r="O759" i="7"/>
  <c r="P759" i="7" s="1"/>
  <c r="N759" i="7"/>
  <c r="M759" i="7"/>
  <c r="L759" i="7"/>
  <c r="Q758" i="7"/>
  <c r="O758" i="7"/>
  <c r="P758" i="7" s="1"/>
  <c r="N758" i="7"/>
  <c r="M758" i="7"/>
  <c r="L758" i="7"/>
  <c r="Q757" i="7"/>
  <c r="O757" i="7"/>
  <c r="P757" i="7" s="1"/>
  <c r="N757" i="7"/>
  <c r="M757" i="7"/>
  <c r="L757" i="7"/>
  <c r="Q756" i="7"/>
  <c r="O756" i="7"/>
  <c r="P756" i="7" s="1"/>
  <c r="N756" i="7"/>
  <c r="M756" i="7"/>
  <c r="L756" i="7"/>
  <c r="Q755" i="7"/>
  <c r="O755" i="7"/>
  <c r="P755" i="7" s="1"/>
  <c r="N755" i="7"/>
  <c r="M755" i="7"/>
  <c r="L755" i="7"/>
  <c r="Q754" i="7"/>
  <c r="O754" i="7"/>
  <c r="P754" i="7" s="1"/>
  <c r="N754" i="7"/>
  <c r="M754" i="7"/>
  <c r="L754" i="7"/>
  <c r="Q753" i="7"/>
  <c r="O753" i="7"/>
  <c r="P753" i="7" s="1"/>
  <c r="N753" i="7"/>
  <c r="M753" i="7"/>
  <c r="L753" i="7"/>
  <c r="Q752" i="7"/>
  <c r="O752" i="7"/>
  <c r="P752" i="7" s="1"/>
  <c r="N752" i="7"/>
  <c r="M752" i="7"/>
  <c r="L752" i="7"/>
  <c r="Q751" i="7"/>
  <c r="O751" i="7"/>
  <c r="P751" i="7" s="1"/>
  <c r="N751" i="7"/>
  <c r="M751" i="7"/>
  <c r="L751" i="7"/>
  <c r="Q750" i="7"/>
  <c r="O750" i="7"/>
  <c r="P750" i="7" s="1"/>
  <c r="N750" i="7"/>
  <c r="M750" i="7"/>
  <c r="L750" i="7"/>
  <c r="Q749" i="7"/>
  <c r="O749" i="7"/>
  <c r="P749" i="7" s="1"/>
  <c r="N749" i="7"/>
  <c r="M749" i="7"/>
  <c r="L749" i="7"/>
  <c r="Q748" i="7"/>
  <c r="O748" i="7"/>
  <c r="P748" i="7" s="1"/>
  <c r="N748" i="7"/>
  <c r="M748" i="7"/>
  <c r="L748" i="7"/>
  <c r="Q747" i="7"/>
  <c r="O747" i="7"/>
  <c r="P747" i="7" s="1"/>
  <c r="N747" i="7"/>
  <c r="M747" i="7"/>
  <c r="L747" i="7"/>
  <c r="Q746" i="7"/>
  <c r="O746" i="7"/>
  <c r="P746" i="7" s="1"/>
  <c r="N746" i="7"/>
  <c r="M746" i="7"/>
  <c r="L746" i="7"/>
  <c r="Q745" i="7"/>
  <c r="O745" i="7"/>
  <c r="P745" i="7" s="1"/>
  <c r="N745" i="7"/>
  <c r="M745" i="7"/>
  <c r="L745" i="7"/>
  <c r="Q744" i="7"/>
  <c r="O744" i="7"/>
  <c r="P744" i="7" s="1"/>
  <c r="N744" i="7"/>
  <c r="M744" i="7"/>
  <c r="L744" i="7"/>
  <c r="Q743" i="7"/>
  <c r="O743" i="7"/>
  <c r="P743" i="7" s="1"/>
  <c r="N743" i="7"/>
  <c r="M743" i="7"/>
  <c r="L743" i="7"/>
  <c r="Q742" i="7"/>
  <c r="O742" i="7"/>
  <c r="P742" i="7" s="1"/>
  <c r="N742" i="7"/>
  <c r="M742" i="7"/>
  <c r="L742" i="7"/>
  <c r="Q741" i="7"/>
  <c r="O741" i="7"/>
  <c r="P741" i="7" s="1"/>
  <c r="N741" i="7"/>
  <c r="M741" i="7"/>
  <c r="L741" i="7"/>
  <c r="Q740" i="7"/>
  <c r="O740" i="7"/>
  <c r="P740" i="7" s="1"/>
  <c r="N740" i="7"/>
  <c r="M740" i="7"/>
  <c r="L740" i="7"/>
  <c r="Q739" i="7"/>
  <c r="O739" i="7"/>
  <c r="P739" i="7" s="1"/>
  <c r="N739" i="7"/>
  <c r="M739" i="7"/>
  <c r="L739" i="7"/>
  <c r="Q738" i="7"/>
  <c r="O738" i="7"/>
  <c r="P738" i="7" s="1"/>
  <c r="N738" i="7"/>
  <c r="M738" i="7"/>
  <c r="L738" i="7"/>
  <c r="Q737" i="7"/>
  <c r="O737" i="7"/>
  <c r="P737" i="7" s="1"/>
  <c r="N737" i="7"/>
  <c r="M737" i="7"/>
  <c r="L737" i="7"/>
  <c r="Q736" i="7"/>
  <c r="O736" i="7"/>
  <c r="P736" i="7" s="1"/>
  <c r="N736" i="7"/>
  <c r="M736" i="7"/>
  <c r="L736" i="7"/>
  <c r="Q735" i="7"/>
  <c r="O735" i="7"/>
  <c r="P735" i="7" s="1"/>
  <c r="N735" i="7"/>
  <c r="M735" i="7"/>
  <c r="L735" i="7"/>
  <c r="Q734" i="7"/>
  <c r="O734" i="7"/>
  <c r="P734" i="7" s="1"/>
  <c r="N734" i="7"/>
  <c r="M734" i="7"/>
  <c r="L734" i="7"/>
  <c r="Q733" i="7"/>
  <c r="O733" i="7"/>
  <c r="P733" i="7" s="1"/>
  <c r="N733" i="7"/>
  <c r="M733" i="7"/>
  <c r="L733" i="7"/>
  <c r="Q732" i="7"/>
  <c r="O732" i="7"/>
  <c r="P732" i="7" s="1"/>
  <c r="N732" i="7"/>
  <c r="M732" i="7"/>
  <c r="L732" i="7"/>
  <c r="Q731" i="7"/>
  <c r="O731" i="7"/>
  <c r="P731" i="7" s="1"/>
  <c r="N731" i="7"/>
  <c r="M731" i="7"/>
  <c r="L731" i="7"/>
  <c r="Q730" i="7"/>
  <c r="O730" i="7"/>
  <c r="P730" i="7" s="1"/>
  <c r="N730" i="7"/>
  <c r="M730" i="7"/>
  <c r="L730" i="7"/>
  <c r="Q729" i="7"/>
  <c r="O729" i="7"/>
  <c r="P729" i="7" s="1"/>
  <c r="N729" i="7"/>
  <c r="M729" i="7"/>
  <c r="L729" i="7"/>
  <c r="Q728" i="7"/>
  <c r="O728" i="7"/>
  <c r="P728" i="7" s="1"/>
  <c r="N728" i="7"/>
  <c r="M728" i="7"/>
  <c r="L728" i="7"/>
  <c r="Q727" i="7"/>
  <c r="O727" i="7"/>
  <c r="P727" i="7" s="1"/>
  <c r="N727" i="7"/>
  <c r="M727" i="7"/>
  <c r="L727" i="7"/>
  <c r="Q726" i="7"/>
  <c r="O726" i="7"/>
  <c r="P726" i="7" s="1"/>
  <c r="N726" i="7"/>
  <c r="M726" i="7"/>
  <c r="L726" i="7"/>
  <c r="Q725" i="7"/>
  <c r="O725" i="7"/>
  <c r="P725" i="7" s="1"/>
  <c r="N725" i="7"/>
  <c r="M725" i="7"/>
  <c r="L725" i="7"/>
  <c r="Q724" i="7"/>
  <c r="O724" i="7"/>
  <c r="P724" i="7" s="1"/>
  <c r="N724" i="7"/>
  <c r="M724" i="7"/>
  <c r="L724" i="7"/>
  <c r="Q723" i="7"/>
  <c r="O723" i="7"/>
  <c r="P723" i="7" s="1"/>
  <c r="N723" i="7"/>
  <c r="M723" i="7"/>
  <c r="L723" i="7"/>
  <c r="Q722" i="7"/>
  <c r="O722" i="7"/>
  <c r="P722" i="7" s="1"/>
  <c r="N722" i="7"/>
  <c r="M722" i="7"/>
  <c r="L722" i="7"/>
  <c r="Q721" i="7"/>
  <c r="O721" i="7"/>
  <c r="P721" i="7" s="1"/>
  <c r="N721" i="7"/>
  <c r="M721" i="7"/>
  <c r="L721" i="7"/>
  <c r="Q720" i="7"/>
  <c r="O720" i="7"/>
  <c r="P720" i="7" s="1"/>
  <c r="N720" i="7"/>
  <c r="M720" i="7"/>
  <c r="L720" i="7"/>
  <c r="Q719" i="7"/>
  <c r="O719" i="7"/>
  <c r="P719" i="7" s="1"/>
  <c r="N719" i="7"/>
  <c r="M719" i="7"/>
  <c r="L719" i="7"/>
  <c r="Q718" i="7"/>
  <c r="O718" i="7"/>
  <c r="P718" i="7" s="1"/>
  <c r="N718" i="7"/>
  <c r="M718" i="7"/>
  <c r="L718" i="7"/>
  <c r="Q717" i="7"/>
  <c r="O717" i="7"/>
  <c r="P717" i="7" s="1"/>
  <c r="N717" i="7"/>
  <c r="M717" i="7"/>
  <c r="L717" i="7"/>
  <c r="Q716" i="7"/>
  <c r="O716" i="7"/>
  <c r="P716" i="7" s="1"/>
  <c r="N716" i="7"/>
  <c r="M716" i="7"/>
  <c r="L716" i="7"/>
  <c r="Q715" i="7"/>
  <c r="O715" i="7"/>
  <c r="P715" i="7" s="1"/>
  <c r="N715" i="7"/>
  <c r="M715" i="7"/>
  <c r="L715" i="7"/>
  <c r="Q714" i="7"/>
  <c r="O714" i="7"/>
  <c r="P714" i="7" s="1"/>
  <c r="N714" i="7"/>
  <c r="M714" i="7"/>
  <c r="L714" i="7"/>
  <c r="Q713" i="7"/>
  <c r="O713" i="7"/>
  <c r="P713" i="7" s="1"/>
  <c r="N713" i="7"/>
  <c r="M713" i="7"/>
  <c r="L713" i="7"/>
  <c r="Q712" i="7"/>
  <c r="O712" i="7"/>
  <c r="P712" i="7" s="1"/>
  <c r="N712" i="7"/>
  <c r="M712" i="7"/>
  <c r="L712" i="7"/>
  <c r="Q711" i="7"/>
  <c r="O711" i="7"/>
  <c r="P711" i="7" s="1"/>
  <c r="N711" i="7"/>
  <c r="M711" i="7"/>
  <c r="L711" i="7"/>
  <c r="Q710" i="7"/>
  <c r="O710" i="7"/>
  <c r="P710" i="7" s="1"/>
  <c r="N710" i="7"/>
  <c r="M710" i="7"/>
  <c r="L710" i="7"/>
  <c r="Q709" i="7"/>
  <c r="O709" i="7"/>
  <c r="P709" i="7" s="1"/>
  <c r="N709" i="7"/>
  <c r="M709" i="7"/>
  <c r="L709" i="7"/>
  <c r="Q708" i="7"/>
  <c r="O708" i="7"/>
  <c r="P708" i="7" s="1"/>
  <c r="N708" i="7"/>
  <c r="M708" i="7"/>
  <c r="L708" i="7"/>
  <c r="Q707" i="7"/>
  <c r="O707" i="7"/>
  <c r="P707" i="7" s="1"/>
  <c r="N707" i="7"/>
  <c r="M707" i="7"/>
  <c r="L707" i="7"/>
  <c r="Q706" i="7"/>
  <c r="O706" i="7"/>
  <c r="P706" i="7" s="1"/>
  <c r="N706" i="7"/>
  <c r="M706" i="7"/>
  <c r="L706" i="7"/>
  <c r="Q705" i="7"/>
  <c r="O705" i="7"/>
  <c r="P705" i="7" s="1"/>
  <c r="N705" i="7"/>
  <c r="M705" i="7"/>
  <c r="L705" i="7"/>
  <c r="Q704" i="7"/>
  <c r="O704" i="7"/>
  <c r="P704" i="7" s="1"/>
  <c r="N704" i="7"/>
  <c r="M704" i="7"/>
  <c r="L704" i="7"/>
  <c r="Q703" i="7"/>
  <c r="O703" i="7"/>
  <c r="P703" i="7" s="1"/>
  <c r="N703" i="7"/>
  <c r="M703" i="7"/>
  <c r="L703" i="7"/>
  <c r="Q702" i="7"/>
  <c r="O702" i="7"/>
  <c r="P702" i="7" s="1"/>
  <c r="N702" i="7"/>
  <c r="M702" i="7"/>
  <c r="L702" i="7"/>
  <c r="Q701" i="7"/>
  <c r="O701" i="7"/>
  <c r="P701" i="7" s="1"/>
  <c r="N701" i="7"/>
  <c r="M701" i="7"/>
  <c r="L701" i="7"/>
  <c r="Q700" i="7"/>
  <c r="O700" i="7"/>
  <c r="P700" i="7" s="1"/>
  <c r="N700" i="7"/>
  <c r="M700" i="7"/>
  <c r="L700" i="7"/>
  <c r="Q699" i="7"/>
  <c r="O699" i="7"/>
  <c r="P699" i="7" s="1"/>
  <c r="N699" i="7"/>
  <c r="M699" i="7"/>
  <c r="L699" i="7"/>
  <c r="Q698" i="7"/>
  <c r="O698" i="7"/>
  <c r="P698" i="7" s="1"/>
  <c r="N698" i="7"/>
  <c r="M698" i="7"/>
  <c r="L698" i="7"/>
  <c r="Q697" i="7"/>
  <c r="O697" i="7"/>
  <c r="P697" i="7" s="1"/>
  <c r="N697" i="7"/>
  <c r="M697" i="7"/>
  <c r="L697" i="7"/>
  <c r="Q696" i="7"/>
  <c r="O696" i="7"/>
  <c r="P696" i="7" s="1"/>
  <c r="N696" i="7"/>
  <c r="M696" i="7"/>
  <c r="L696" i="7"/>
  <c r="Q695" i="7"/>
  <c r="O695" i="7"/>
  <c r="P695" i="7" s="1"/>
  <c r="N695" i="7"/>
  <c r="M695" i="7"/>
  <c r="L695" i="7"/>
  <c r="Q694" i="7"/>
  <c r="O694" i="7"/>
  <c r="P694" i="7" s="1"/>
  <c r="N694" i="7"/>
  <c r="M694" i="7"/>
  <c r="L694" i="7"/>
  <c r="Q693" i="7"/>
  <c r="O693" i="7"/>
  <c r="P693" i="7" s="1"/>
  <c r="N693" i="7"/>
  <c r="M693" i="7"/>
  <c r="L693" i="7"/>
  <c r="Q692" i="7"/>
  <c r="O692" i="7"/>
  <c r="P692" i="7" s="1"/>
  <c r="N692" i="7"/>
  <c r="M692" i="7"/>
  <c r="L692" i="7"/>
  <c r="Q691" i="7"/>
  <c r="O691" i="7"/>
  <c r="P691" i="7" s="1"/>
  <c r="N691" i="7"/>
  <c r="M691" i="7"/>
  <c r="L691" i="7"/>
  <c r="Q690" i="7"/>
  <c r="O690" i="7"/>
  <c r="P690" i="7" s="1"/>
  <c r="N690" i="7"/>
  <c r="M690" i="7"/>
  <c r="L690" i="7"/>
  <c r="Q689" i="7"/>
  <c r="O689" i="7"/>
  <c r="P689" i="7" s="1"/>
  <c r="N689" i="7"/>
  <c r="M689" i="7"/>
  <c r="L689" i="7"/>
  <c r="Q688" i="7"/>
  <c r="O688" i="7"/>
  <c r="P688" i="7" s="1"/>
  <c r="N688" i="7"/>
  <c r="M688" i="7"/>
  <c r="L688" i="7"/>
  <c r="Q687" i="7"/>
  <c r="O687" i="7"/>
  <c r="P687" i="7" s="1"/>
  <c r="N687" i="7"/>
  <c r="M687" i="7"/>
  <c r="L687" i="7"/>
  <c r="Q686" i="7"/>
  <c r="O686" i="7"/>
  <c r="P686" i="7" s="1"/>
  <c r="N686" i="7"/>
  <c r="M686" i="7"/>
  <c r="L686" i="7"/>
  <c r="Q685" i="7"/>
  <c r="O685" i="7"/>
  <c r="P685" i="7" s="1"/>
  <c r="N685" i="7"/>
  <c r="M685" i="7"/>
  <c r="L685" i="7"/>
  <c r="Q684" i="7"/>
  <c r="O684" i="7"/>
  <c r="P684" i="7" s="1"/>
  <c r="N684" i="7"/>
  <c r="M684" i="7"/>
  <c r="L684" i="7"/>
  <c r="Q683" i="7"/>
  <c r="O683" i="7"/>
  <c r="P683" i="7" s="1"/>
  <c r="N683" i="7"/>
  <c r="M683" i="7"/>
  <c r="L683" i="7"/>
  <c r="Q682" i="7"/>
  <c r="O682" i="7"/>
  <c r="P682" i="7" s="1"/>
  <c r="N682" i="7"/>
  <c r="M682" i="7"/>
  <c r="L682" i="7"/>
  <c r="Q681" i="7"/>
  <c r="O681" i="7"/>
  <c r="P681" i="7" s="1"/>
  <c r="N681" i="7"/>
  <c r="M681" i="7"/>
  <c r="L681" i="7"/>
  <c r="Q680" i="7"/>
  <c r="O680" i="7"/>
  <c r="P680" i="7" s="1"/>
  <c r="N680" i="7"/>
  <c r="M680" i="7"/>
  <c r="L680" i="7"/>
  <c r="Q679" i="7"/>
  <c r="O679" i="7"/>
  <c r="P679" i="7" s="1"/>
  <c r="N679" i="7"/>
  <c r="M679" i="7"/>
  <c r="L679" i="7"/>
  <c r="Q678" i="7"/>
  <c r="O678" i="7"/>
  <c r="P678" i="7" s="1"/>
  <c r="N678" i="7"/>
  <c r="M678" i="7"/>
  <c r="L678" i="7"/>
  <c r="Q677" i="7"/>
  <c r="O677" i="7"/>
  <c r="P677" i="7" s="1"/>
  <c r="N677" i="7"/>
  <c r="M677" i="7"/>
  <c r="L677" i="7"/>
  <c r="Q676" i="7"/>
  <c r="O676" i="7"/>
  <c r="P676" i="7" s="1"/>
  <c r="N676" i="7"/>
  <c r="M676" i="7"/>
  <c r="L676" i="7"/>
  <c r="Q675" i="7"/>
  <c r="O675" i="7"/>
  <c r="P675" i="7" s="1"/>
  <c r="N675" i="7"/>
  <c r="M675" i="7"/>
  <c r="L675" i="7"/>
  <c r="Q674" i="7"/>
  <c r="O674" i="7"/>
  <c r="P674" i="7" s="1"/>
  <c r="N674" i="7"/>
  <c r="M674" i="7"/>
  <c r="L674" i="7"/>
  <c r="Q673" i="7"/>
  <c r="O673" i="7"/>
  <c r="P673" i="7" s="1"/>
  <c r="N673" i="7"/>
  <c r="M673" i="7"/>
  <c r="L673" i="7"/>
  <c r="Q672" i="7"/>
  <c r="O672" i="7"/>
  <c r="P672" i="7" s="1"/>
  <c r="N672" i="7"/>
  <c r="M672" i="7"/>
  <c r="L672" i="7"/>
  <c r="Q671" i="7"/>
  <c r="O671" i="7"/>
  <c r="P671" i="7" s="1"/>
  <c r="N671" i="7"/>
  <c r="M671" i="7"/>
  <c r="L671" i="7"/>
  <c r="Q670" i="7"/>
  <c r="O670" i="7"/>
  <c r="P670" i="7" s="1"/>
  <c r="N670" i="7"/>
  <c r="M670" i="7"/>
  <c r="L670" i="7"/>
  <c r="Q669" i="7"/>
  <c r="O669" i="7"/>
  <c r="P669" i="7" s="1"/>
  <c r="N669" i="7"/>
  <c r="M669" i="7"/>
  <c r="L669" i="7"/>
  <c r="Q668" i="7"/>
  <c r="O668" i="7"/>
  <c r="P668" i="7" s="1"/>
  <c r="N668" i="7"/>
  <c r="M668" i="7"/>
  <c r="L668" i="7"/>
  <c r="Q667" i="7"/>
  <c r="O667" i="7"/>
  <c r="P667" i="7" s="1"/>
  <c r="N667" i="7"/>
  <c r="M667" i="7"/>
  <c r="L667" i="7"/>
  <c r="Q666" i="7"/>
  <c r="O666" i="7"/>
  <c r="P666" i="7" s="1"/>
  <c r="N666" i="7"/>
  <c r="M666" i="7"/>
  <c r="L666" i="7"/>
  <c r="Q665" i="7"/>
  <c r="O665" i="7"/>
  <c r="P665" i="7" s="1"/>
  <c r="N665" i="7"/>
  <c r="M665" i="7"/>
  <c r="L665" i="7"/>
  <c r="Q664" i="7"/>
  <c r="O664" i="7"/>
  <c r="P664" i="7" s="1"/>
  <c r="N664" i="7"/>
  <c r="M664" i="7"/>
  <c r="L664" i="7"/>
  <c r="Q663" i="7"/>
  <c r="O663" i="7"/>
  <c r="P663" i="7" s="1"/>
  <c r="N663" i="7"/>
  <c r="M663" i="7"/>
  <c r="L663" i="7"/>
  <c r="Q662" i="7"/>
  <c r="O662" i="7"/>
  <c r="P662" i="7" s="1"/>
  <c r="N662" i="7"/>
  <c r="M662" i="7"/>
  <c r="L662" i="7"/>
  <c r="Q661" i="7"/>
  <c r="O661" i="7"/>
  <c r="P661" i="7" s="1"/>
  <c r="N661" i="7"/>
  <c r="M661" i="7"/>
  <c r="L661" i="7"/>
  <c r="Q660" i="7"/>
  <c r="O660" i="7"/>
  <c r="P660" i="7" s="1"/>
  <c r="N660" i="7"/>
  <c r="M660" i="7"/>
  <c r="L660" i="7"/>
  <c r="Q659" i="7"/>
  <c r="O659" i="7"/>
  <c r="P659" i="7" s="1"/>
  <c r="N659" i="7"/>
  <c r="M659" i="7"/>
  <c r="L659" i="7"/>
  <c r="Q658" i="7"/>
  <c r="O658" i="7"/>
  <c r="P658" i="7" s="1"/>
  <c r="N658" i="7"/>
  <c r="M658" i="7"/>
  <c r="L658" i="7"/>
  <c r="Q657" i="7"/>
  <c r="O657" i="7"/>
  <c r="P657" i="7" s="1"/>
  <c r="N657" i="7"/>
  <c r="M657" i="7"/>
  <c r="L657" i="7"/>
  <c r="Q656" i="7"/>
  <c r="O656" i="7"/>
  <c r="P656" i="7" s="1"/>
  <c r="N656" i="7"/>
  <c r="M656" i="7"/>
  <c r="L656" i="7"/>
  <c r="Q655" i="7"/>
  <c r="O655" i="7"/>
  <c r="P655" i="7" s="1"/>
  <c r="N655" i="7"/>
  <c r="M655" i="7"/>
  <c r="L655" i="7"/>
  <c r="Q654" i="7"/>
  <c r="O654" i="7"/>
  <c r="P654" i="7" s="1"/>
  <c r="N654" i="7"/>
  <c r="M654" i="7"/>
  <c r="L654" i="7"/>
  <c r="Q653" i="7"/>
  <c r="O653" i="7"/>
  <c r="P653" i="7" s="1"/>
  <c r="N653" i="7"/>
  <c r="M653" i="7"/>
  <c r="L653" i="7"/>
  <c r="Q652" i="7"/>
  <c r="O652" i="7"/>
  <c r="P652" i="7" s="1"/>
  <c r="N652" i="7"/>
  <c r="M652" i="7"/>
  <c r="L652" i="7"/>
  <c r="Q651" i="7"/>
  <c r="O651" i="7"/>
  <c r="P651" i="7" s="1"/>
  <c r="N651" i="7"/>
  <c r="M651" i="7"/>
  <c r="L651" i="7"/>
  <c r="Q650" i="7"/>
  <c r="O650" i="7"/>
  <c r="P650" i="7" s="1"/>
  <c r="N650" i="7"/>
  <c r="M650" i="7"/>
  <c r="L650" i="7"/>
  <c r="Q649" i="7"/>
  <c r="O649" i="7"/>
  <c r="P649" i="7" s="1"/>
  <c r="N649" i="7"/>
  <c r="M649" i="7"/>
  <c r="L649" i="7"/>
  <c r="Q648" i="7"/>
  <c r="O648" i="7"/>
  <c r="P648" i="7" s="1"/>
  <c r="N648" i="7"/>
  <c r="M648" i="7"/>
  <c r="L648" i="7"/>
  <c r="Q647" i="7"/>
  <c r="O647" i="7"/>
  <c r="P647" i="7" s="1"/>
  <c r="N647" i="7"/>
  <c r="M647" i="7"/>
  <c r="L647" i="7"/>
  <c r="Q646" i="7"/>
  <c r="O646" i="7"/>
  <c r="P646" i="7" s="1"/>
  <c r="N646" i="7"/>
  <c r="M646" i="7"/>
  <c r="L646" i="7"/>
  <c r="Q645" i="7"/>
  <c r="O645" i="7"/>
  <c r="P645" i="7" s="1"/>
  <c r="N645" i="7"/>
  <c r="M645" i="7"/>
  <c r="L645" i="7"/>
  <c r="Q644" i="7"/>
  <c r="O644" i="7"/>
  <c r="P644" i="7" s="1"/>
  <c r="N644" i="7"/>
  <c r="M644" i="7"/>
  <c r="L644" i="7"/>
  <c r="Q643" i="7"/>
  <c r="O643" i="7"/>
  <c r="P643" i="7" s="1"/>
  <c r="N643" i="7"/>
  <c r="M643" i="7"/>
  <c r="L643" i="7"/>
  <c r="Q642" i="7"/>
  <c r="O642" i="7"/>
  <c r="P642" i="7" s="1"/>
  <c r="N642" i="7"/>
  <c r="M642" i="7"/>
  <c r="L642" i="7"/>
  <c r="Q641" i="7"/>
  <c r="O641" i="7"/>
  <c r="P641" i="7" s="1"/>
  <c r="N641" i="7"/>
  <c r="M641" i="7"/>
  <c r="L641" i="7"/>
  <c r="Q640" i="7"/>
  <c r="O640" i="7"/>
  <c r="P640" i="7" s="1"/>
  <c r="N640" i="7"/>
  <c r="M640" i="7"/>
  <c r="L640" i="7"/>
  <c r="Q639" i="7"/>
  <c r="O639" i="7"/>
  <c r="P639" i="7" s="1"/>
  <c r="N639" i="7"/>
  <c r="M639" i="7"/>
  <c r="L639" i="7"/>
  <c r="Q638" i="7"/>
  <c r="O638" i="7"/>
  <c r="P638" i="7" s="1"/>
  <c r="N638" i="7"/>
  <c r="M638" i="7"/>
  <c r="L638" i="7"/>
  <c r="Q637" i="7"/>
  <c r="O637" i="7"/>
  <c r="P637" i="7" s="1"/>
  <c r="N637" i="7"/>
  <c r="M637" i="7"/>
  <c r="L637" i="7"/>
  <c r="Q636" i="7"/>
  <c r="O636" i="7"/>
  <c r="P636" i="7" s="1"/>
  <c r="N636" i="7"/>
  <c r="M636" i="7"/>
  <c r="L636" i="7"/>
  <c r="Q635" i="7"/>
  <c r="O635" i="7"/>
  <c r="P635" i="7" s="1"/>
  <c r="N635" i="7"/>
  <c r="M635" i="7"/>
  <c r="L635" i="7"/>
  <c r="Q634" i="7"/>
  <c r="O634" i="7"/>
  <c r="P634" i="7" s="1"/>
  <c r="N634" i="7"/>
  <c r="M634" i="7"/>
  <c r="L634" i="7"/>
  <c r="Q633" i="7"/>
  <c r="O633" i="7"/>
  <c r="P633" i="7" s="1"/>
  <c r="N633" i="7"/>
  <c r="M633" i="7"/>
  <c r="L633" i="7"/>
  <c r="Q632" i="7"/>
  <c r="O632" i="7"/>
  <c r="P632" i="7" s="1"/>
  <c r="N632" i="7"/>
  <c r="M632" i="7"/>
  <c r="L632" i="7"/>
  <c r="Q631" i="7"/>
  <c r="O631" i="7"/>
  <c r="P631" i="7" s="1"/>
  <c r="N631" i="7"/>
  <c r="M631" i="7"/>
  <c r="L631" i="7"/>
  <c r="Q630" i="7"/>
  <c r="O630" i="7"/>
  <c r="P630" i="7" s="1"/>
  <c r="N630" i="7"/>
  <c r="M630" i="7"/>
  <c r="L630" i="7"/>
  <c r="Q629" i="7"/>
  <c r="O629" i="7"/>
  <c r="P629" i="7" s="1"/>
  <c r="N629" i="7"/>
  <c r="M629" i="7"/>
  <c r="L629" i="7"/>
  <c r="Q628" i="7"/>
  <c r="O628" i="7"/>
  <c r="P628" i="7" s="1"/>
  <c r="N628" i="7"/>
  <c r="M628" i="7"/>
  <c r="L628" i="7"/>
  <c r="Q627" i="7"/>
  <c r="O627" i="7"/>
  <c r="P627" i="7" s="1"/>
  <c r="N627" i="7"/>
  <c r="M627" i="7"/>
  <c r="L627" i="7"/>
  <c r="Q626" i="7"/>
  <c r="O626" i="7"/>
  <c r="P626" i="7" s="1"/>
  <c r="N626" i="7"/>
  <c r="M626" i="7"/>
  <c r="L626" i="7"/>
  <c r="Q625" i="7"/>
  <c r="O625" i="7"/>
  <c r="P625" i="7" s="1"/>
  <c r="N625" i="7"/>
  <c r="M625" i="7"/>
  <c r="L625" i="7"/>
  <c r="Q624" i="7"/>
  <c r="O624" i="7"/>
  <c r="P624" i="7" s="1"/>
  <c r="N624" i="7"/>
  <c r="M624" i="7"/>
  <c r="L624" i="7"/>
  <c r="Q623" i="7"/>
  <c r="O623" i="7"/>
  <c r="P623" i="7" s="1"/>
  <c r="N623" i="7"/>
  <c r="M623" i="7"/>
  <c r="L623" i="7"/>
  <c r="Q622" i="7"/>
  <c r="O622" i="7"/>
  <c r="P622" i="7" s="1"/>
  <c r="N622" i="7"/>
  <c r="M622" i="7"/>
  <c r="L622" i="7"/>
  <c r="Q621" i="7"/>
  <c r="O621" i="7"/>
  <c r="P621" i="7" s="1"/>
  <c r="N621" i="7"/>
  <c r="M621" i="7"/>
  <c r="L621" i="7"/>
  <c r="Q620" i="7"/>
  <c r="O620" i="7"/>
  <c r="P620" i="7" s="1"/>
  <c r="N620" i="7"/>
  <c r="M620" i="7"/>
  <c r="L620" i="7"/>
  <c r="Q619" i="7"/>
  <c r="O619" i="7"/>
  <c r="P619" i="7" s="1"/>
  <c r="N619" i="7"/>
  <c r="M619" i="7"/>
  <c r="L619" i="7"/>
  <c r="Q618" i="7"/>
  <c r="O618" i="7"/>
  <c r="P618" i="7" s="1"/>
  <c r="N618" i="7"/>
  <c r="M618" i="7"/>
  <c r="L618" i="7"/>
  <c r="Q617" i="7"/>
  <c r="O617" i="7"/>
  <c r="P617" i="7" s="1"/>
  <c r="N617" i="7"/>
  <c r="M617" i="7"/>
  <c r="L617" i="7"/>
  <c r="Q616" i="7"/>
  <c r="O616" i="7"/>
  <c r="P616" i="7" s="1"/>
  <c r="N616" i="7"/>
  <c r="M616" i="7"/>
  <c r="L616" i="7"/>
  <c r="Q615" i="7"/>
  <c r="O615" i="7"/>
  <c r="P615" i="7" s="1"/>
  <c r="N615" i="7"/>
  <c r="M615" i="7"/>
  <c r="L615" i="7"/>
  <c r="Q614" i="7"/>
  <c r="O614" i="7"/>
  <c r="P614" i="7" s="1"/>
  <c r="N614" i="7"/>
  <c r="M614" i="7"/>
  <c r="L614" i="7"/>
  <c r="Q613" i="7"/>
  <c r="O613" i="7"/>
  <c r="P613" i="7" s="1"/>
  <c r="N613" i="7"/>
  <c r="M613" i="7"/>
  <c r="L613" i="7"/>
  <c r="Q612" i="7"/>
  <c r="O612" i="7"/>
  <c r="P612" i="7" s="1"/>
  <c r="N612" i="7"/>
  <c r="M612" i="7"/>
  <c r="L612" i="7"/>
  <c r="Q611" i="7"/>
  <c r="O611" i="7"/>
  <c r="P611" i="7" s="1"/>
  <c r="N611" i="7"/>
  <c r="M611" i="7"/>
  <c r="L611" i="7"/>
  <c r="Q610" i="7"/>
  <c r="O610" i="7"/>
  <c r="P610" i="7" s="1"/>
  <c r="N610" i="7"/>
  <c r="M610" i="7"/>
  <c r="L610" i="7"/>
  <c r="Q609" i="7"/>
  <c r="O609" i="7"/>
  <c r="P609" i="7" s="1"/>
  <c r="N609" i="7"/>
  <c r="M609" i="7"/>
  <c r="L609" i="7"/>
  <c r="Q608" i="7"/>
  <c r="O608" i="7"/>
  <c r="P608" i="7" s="1"/>
  <c r="N608" i="7"/>
  <c r="M608" i="7"/>
  <c r="L608" i="7"/>
  <c r="Q607" i="7"/>
  <c r="O607" i="7"/>
  <c r="P607" i="7" s="1"/>
  <c r="N607" i="7"/>
  <c r="M607" i="7"/>
  <c r="L607" i="7"/>
  <c r="Q606" i="7"/>
  <c r="O606" i="7"/>
  <c r="P606" i="7" s="1"/>
  <c r="N606" i="7"/>
  <c r="M606" i="7"/>
  <c r="L606" i="7"/>
  <c r="Q605" i="7"/>
  <c r="O605" i="7"/>
  <c r="P605" i="7" s="1"/>
  <c r="N605" i="7"/>
  <c r="M605" i="7"/>
  <c r="L605" i="7"/>
  <c r="Q604" i="7"/>
  <c r="O604" i="7"/>
  <c r="P604" i="7" s="1"/>
  <c r="N604" i="7"/>
  <c r="M604" i="7"/>
  <c r="L604" i="7"/>
  <c r="Q603" i="7"/>
  <c r="O603" i="7"/>
  <c r="P603" i="7" s="1"/>
  <c r="N603" i="7"/>
  <c r="M603" i="7"/>
  <c r="L603" i="7"/>
  <c r="Q602" i="7"/>
  <c r="O602" i="7"/>
  <c r="P602" i="7" s="1"/>
  <c r="N602" i="7"/>
  <c r="M602" i="7"/>
  <c r="L602" i="7"/>
  <c r="Q601" i="7"/>
  <c r="O601" i="7"/>
  <c r="P601" i="7" s="1"/>
  <c r="N601" i="7"/>
  <c r="M601" i="7"/>
  <c r="L601" i="7"/>
  <c r="Q600" i="7"/>
  <c r="O600" i="7"/>
  <c r="P600" i="7" s="1"/>
  <c r="N600" i="7"/>
  <c r="M600" i="7"/>
  <c r="L600" i="7"/>
  <c r="Q599" i="7"/>
  <c r="O599" i="7"/>
  <c r="P599" i="7" s="1"/>
  <c r="N599" i="7"/>
  <c r="M599" i="7"/>
  <c r="L599" i="7"/>
  <c r="Q598" i="7"/>
  <c r="O598" i="7"/>
  <c r="P598" i="7" s="1"/>
  <c r="N598" i="7"/>
  <c r="M598" i="7"/>
  <c r="L598" i="7"/>
  <c r="Q597" i="7"/>
  <c r="O597" i="7"/>
  <c r="P597" i="7" s="1"/>
  <c r="N597" i="7"/>
  <c r="M597" i="7"/>
  <c r="L597" i="7"/>
  <c r="Q596" i="7"/>
  <c r="O596" i="7"/>
  <c r="P596" i="7" s="1"/>
  <c r="N596" i="7"/>
  <c r="M596" i="7"/>
  <c r="L596" i="7"/>
  <c r="Q595" i="7"/>
  <c r="O595" i="7"/>
  <c r="P595" i="7" s="1"/>
  <c r="N595" i="7"/>
  <c r="M595" i="7"/>
  <c r="L595" i="7"/>
  <c r="Q594" i="7"/>
  <c r="O594" i="7"/>
  <c r="P594" i="7" s="1"/>
  <c r="N594" i="7"/>
  <c r="M594" i="7"/>
  <c r="L594" i="7"/>
  <c r="Q593" i="7"/>
  <c r="O593" i="7"/>
  <c r="P593" i="7" s="1"/>
  <c r="N593" i="7"/>
  <c r="M593" i="7"/>
  <c r="L593" i="7"/>
  <c r="Q592" i="7"/>
  <c r="O592" i="7"/>
  <c r="P592" i="7" s="1"/>
  <c r="N592" i="7"/>
  <c r="M592" i="7"/>
  <c r="L592" i="7"/>
  <c r="Q591" i="7"/>
  <c r="O591" i="7"/>
  <c r="P591" i="7" s="1"/>
  <c r="N591" i="7"/>
  <c r="M591" i="7"/>
  <c r="L591" i="7"/>
  <c r="Q590" i="7"/>
  <c r="O590" i="7"/>
  <c r="P590" i="7" s="1"/>
  <c r="N590" i="7"/>
  <c r="M590" i="7"/>
  <c r="L590" i="7"/>
  <c r="Q589" i="7"/>
  <c r="O589" i="7"/>
  <c r="P589" i="7" s="1"/>
  <c r="N589" i="7"/>
  <c r="M589" i="7"/>
  <c r="L589" i="7"/>
  <c r="Q588" i="7"/>
  <c r="O588" i="7"/>
  <c r="P588" i="7" s="1"/>
  <c r="N588" i="7"/>
  <c r="M588" i="7"/>
  <c r="L588" i="7"/>
  <c r="Q587" i="7"/>
  <c r="O587" i="7"/>
  <c r="P587" i="7" s="1"/>
  <c r="N587" i="7"/>
  <c r="M587" i="7"/>
  <c r="L587" i="7"/>
  <c r="Q586" i="7"/>
  <c r="O586" i="7"/>
  <c r="P586" i="7" s="1"/>
  <c r="N586" i="7"/>
  <c r="M586" i="7"/>
  <c r="L586" i="7"/>
  <c r="Q585" i="7"/>
  <c r="O585" i="7"/>
  <c r="P585" i="7" s="1"/>
  <c r="N585" i="7"/>
  <c r="M585" i="7"/>
  <c r="L585" i="7"/>
  <c r="Q584" i="7"/>
  <c r="O584" i="7"/>
  <c r="P584" i="7" s="1"/>
  <c r="N584" i="7"/>
  <c r="M584" i="7"/>
  <c r="L584" i="7"/>
  <c r="Q583" i="7"/>
  <c r="O583" i="7"/>
  <c r="P583" i="7" s="1"/>
  <c r="N583" i="7"/>
  <c r="M583" i="7"/>
  <c r="L583" i="7"/>
  <c r="Q582" i="7"/>
  <c r="O582" i="7"/>
  <c r="P582" i="7" s="1"/>
  <c r="N582" i="7"/>
  <c r="M582" i="7"/>
  <c r="L582" i="7"/>
  <c r="Q581" i="7"/>
  <c r="O581" i="7"/>
  <c r="P581" i="7" s="1"/>
  <c r="N581" i="7"/>
  <c r="M581" i="7"/>
  <c r="L581" i="7"/>
  <c r="Q580" i="7"/>
  <c r="O580" i="7"/>
  <c r="P580" i="7" s="1"/>
  <c r="N580" i="7"/>
  <c r="M580" i="7"/>
  <c r="L580" i="7"/>
  <c r="Q579" i="7"/>
  <c r="O579" i="7"/>
  <c r="P579" i="7" s="1"/>
  <c r="N579" i="7"/>
  <c r="M579" i="7"/>
  <c r="L579" i="7"/>
  <c r="Q578" i="7"/>
  <c r="O578" i="7"/>
  <c r="P578" i="7" s="1"/>
  <c r="N578" i="7"/>
  <c r="M578" i="7"/>
  <c r="L578" i="7"/>
  <c r="Q577" i="7"/>
  <c r="O577" i="7"/>
  <c r="P577" i="7" s="1"/>
  <c r="N577" i="7"/>
  <c r="M577" i="7"/>
  <c r="L577" i="7"/>
  <c r="Q576" i="7"/>
  <c r="O576" i="7"/>
  <c r="P576" i="7" s="1"/>
  <c r="N576" i="7"/>
  <c r="M576" i="7"/>
  <c r="L576" i="7"/>
  <c r="Q575" i="7"/>
  <c r="O575" i="7"/>
  <c r="P575" i="7" s="1"/>
  <c r="N575" i="7"/>
  <c r="M575" i="7"/>
  <c r="L575" i="7"/>
  <c r="Q574" i="7"/>
  <c r="O574" i="7"/>
  <c r="P574" i="7" s="1"/>
  <c r="N574" i="7"/>
  <c r="M574" i="7"/>
  <c r="L574" i="7"/>
  <c r="Q573" i="7"/>
  <c r="O573" i="7"/>
  <c r="P573" i="7" s="1"/>
  <c r="N573" i="7"/>
  <c r="M573" i="7"/>
  <c r="L573" i="7"/>
  <c r="Q572" i="7"/>
  <c r="O572" i="7"/>
  <c r="P572" i="7" s="1"/>
  <c r="N572" i="7"/>
  <c r="M572" i="7"/>
  <c r="L572" i="7"/>
  <c r="Q571" i="7"/>
  <c r="O571" i="7"/>
  <c r="P571" i="7" s="1"/>
  <c r="N571" i="7"/>
  <c r="M571" i="7"/>
  <c r="L571" i="7"/>
  <c r="Q570" i="7"/>
  <c r="O570" i="7"/>
  <c r="P570" i="7" s="1"/>
  <c r="N570" i="7"/>
  <c r="M570" i="7"/>
  <c r="L570" i="7"/>
  <c r="Q569" i="7"/>
  <c r="O569" i="7"/>
  <c r="P569" i="7" s="1"/>
  <c r="N569" i="7"/>
  <c r="M569" i="7"/>
  <c r="L569" i="7"/>
  <c r="Q568" i="7"/>
  <c r="O568" i="7"/>
  <c r="P568" i="7" s="1"/>
  <c r="N568" i="7"/>
  <c r="M568" i="7"/>
  <c r="L568" i="7"/>
  <c r="Q567" i="7"/>
  <c r="O567" i="7"/>
  <c r="P567" i="7" s="1"/>
  <c r="N567" i="7"/>
  <c r="M567" i="7"/>
  <c r="L567" i="7"/>
  <c r="Q566" i="7"/>
  <c r="O566" i="7"/>
  <c r="P566" i="7" s="1"/>
  <c r="N566" i="7"/>
  <c r="M566" i="7"/>
  <c r="L566" i="7"/>
  <c r="Q565" i="7"/>
  <c r="O565" i="7"/>
  <c r="P565" i="7" s="1"/>
  <c r="N565" i="7"/>
  <c r="M565" i="7"/>
  <c r="L565" i="7"/>
  <c r="Q564" i="7"/>
  <c r="O564" i="7"/>
  <c r="P564" i="7" s="1"/>
  <c r="N564" i="7"/>
  <c r="M564" i="7"/>
  <c r="L564" i="7"/>
  <c r="Q563" i="7"/>
  <c r="O563" i="7"/>
  <c r="P563" i="7" s="1"/>
  <c r="N563" i="7"/>
  <c r="M563" i="7"/>
  <c r="L563" i="7"/>
  <c r="Q562" i="7"/>
  <c r="O562" i="7"/>
  <c r="P562" i="7" s="1"/>
  <c r="N562" i="7"/>
  <c r="M562" i="7"/>
  <c r="L562" i="7"/>
  <c r="Q561" i="7"/>
  <c r="O561" i="7"/>
  <c r="P561" i="7" s="1"/>
  <c r="N561" i="7"/>
  <c r="M561" i="7"/>
  <c r="L561" i="7"/>
  <c r="Q560" i="7"/>
  <c r="O560" i="7"/>
  <c r="P560" i="7" s="1"/>
  <c r="N560" i="7"/>
  <c r="M560" i="7"/>
  <c r="L560" i="7"/>
  <c r="Q559" i="7"/>
  <c r="O559" i="7"/>
  <c r="P559" i="7" s="1"/>
  <c r="N559" i="7"/>
  <c r="M559" i="7"/>
  <c r="L559" i="7"/>
  <c r="Q558" i="7"/>
  <c r="O558" i="7"/>
  <c r="P558" i="7" s="1"/>
  <c r="N558" i="7"/>
  <c r="M558" i="7"/>
  <c r="L558" i="7"/>
  <c r="Q557" i="7"/>
  <c r="O557" i="7"/>
  <c r="P557" i="7" s="1"/>
  <c r="N557" i="7"/>
  <c r="M557" i="7"/>
  <c r="L557" i="7"/>
  <c r="Q556" i="7"/>
  <c r="O556" i="7"/>
  <c r="P556" i="7" s="1"/>
  <c r="N556" i="7"/>
  <c r="M556" i="7"/>
  <c r="L556" i="7"/>
  <c r="Q555" i="7"/>
  <c r="O555" i="7"/>
  <c r="P555" i="7" s="1"/>
  <c r="N555" i="7"/>
  <c r="M555" i="7"/>
  <c r="L555" i="7"/>
  <c r="Q554" i="7"/>
  <c r="O554" i="7"/>
  <c r="P554" i="7" s="1"/>
  <c r="N554" i="7"/>
  <c r="M554" i="7"/>
  <c r="L554" i="7"/>
  <c r="Q553" i="7"/>
  <c r="O553" i="7"/>
  <c r="P553" i="7" s="1"/>
  <c r="N553" i="7"/>
  <c r="M553" i="7"/>
  <c r="L553" i="7"/>
  <c r="Q552" i="7"/>
  <c r="O552" i="7"/>
  <c r="P552" i="7" s="1"/>
  <c r="N552" i="7"/>
  <c r="M552" i="7"/>
  <c r="L552" i="7"/>
  <c r="Q551" i="7"/>
  <c r="O551" i="7"/>
  <c r="P551" i="7" s="1"/>
  <c r="N551" i="7"/>
  <c r="M551" i="7"/>
  <c r="L551" i="7"/>
  <c r="Q550" i="7"/>
  <c r="O550" i="7"/>
  <c r="P550" i="7" s="1"/>
  <c r="N550" i="7"/>
  <c r="M550" i="7"/>
  <c r="L550" i="7"/>
  <c r="Q549" i="7"/>
  <c r="O549" i="7"/>
  <c r="P549" i="7" s="1"/>
  <c r="N549" i="7"/>
  <c r="M549" i="7"/>
  <c r="L549" i="7"/>
  <c r="Q548" i="7"/>
  <c r="O548" i="7"/>
  <c r="P548" i="7" s="1"/>
  <c r="N548" i="7"/>
  <c r="M548" i="7"/>
  <c r="L548" i="7"/>
  <c r="Q547" i="7"/>
  <c r="O547" i="7"/>
  <c r="P547" i="7" s="1"/>
  <c r="N547" i="7"/>
  <c r="M547" i="7"/>
  <c r="L547" i="7"/>
  <c r="Q546" i="7"/>
  <c r="O546" i="7"/>
  <c r="P546" i="7" s="1"/>
  <c r="N546" i="7"/>
  <c r="M546" i="7"/>
  <c r="L546" i="7"/>
  <c r="Q545" i="7"/>
  <c r="O545" i="7"/>
  <c r="P545" i="7" s="1"/>
  <c r="N545" i="7"/>
  <c r="M545" i="7"/>
  <c r="L545" i="7"/>
  <c r="Q544" i="7"/>
  <c r="O544" i="7"/>
  <c r="P544" i="7" s="1"/>
  <c r="N544" i="7"/>
  <c r="M544" i="7"/>
  <c r="L544" i="7"/>
  <c r="Q543" i="7"/>
  <c r="O543" i="7"/>
  <c r="P543" i="7" s="1"/>
  <c r="N543" i="7"/>
  <c r="M543" i="7"/>
  <c r="L543" i="7"/>
  <c r="Q542" i="7"/>
  <c r="O542" i="7"/>
  <c r="P542" i="7" s="1"/>
  <c r="N542" i="7"/>
  <c r="M542" i="7"/>
  <c r="L542" i="7"/>
  <c r="Q541" i="7"/>
  <c r="O541" i="7"/>
  <c r="P541" i="7" s="1"/>
  <c r="N541" i="7"/>
  <c r="M541" i="7"/>
  <c r="L541" i="7"/>
  <c r="Q540" i="7"/>
  <c r="O540" i="7"/>
  <c r="P540" i="7" s="1"/>
  <c r="N540" i="7"/>
  <c r="M540" i="7"/>
  <c r="L540" i="7"/>
  <c r="Q539" i="7"/>
  <c r="O539" i="7"/>
  <c r="P539" i="7" s="1"/>
  <c r="N539" i="7"/>
  <c r="M539" i="7"/>
  <c r="L539" i="7"/>
  <c r="Q538" i="7"/>
  <c r="O538" i="7"/>
  <c r="P538" i="7" s="1"/>
  <c r="N538" i="7"/>
  <c r="M538" i="7"/>
  <c r="L538" i="7"/>
  <c r="Q537" i="7"/>
  <c r="O537" i="7"/>
  <c r="P537" i="7" s="1"/>
  <c r="N537" i="7"/>
  <c r="M537" i="7"/>
  <c r="L537" i="7"/>
  <c r="Q536" i="7"/>
  <c r="O536" i="7"/>
  <c r="P536" i="7" s="1"/>
  <c r="N536" i="7"/>
  <c r="M536" i="7"/>
  <c r="L536" i="7"/>
  <c r="Q535" i="7"/>
  <c r="O535" i="7"/>
  <c r="P535" i="7" s="1"/>
  <c r="N535" i="7"/>
  <c r="M535" i="7"/>
  <c r="L535" i="7"/>
  <c r="Q534" i="7"/>
  <c r="O534" i="7"/>
  <c r="P534" i="7" s="1"/>
  <c r="N534" i="7"/>
  <c r="M534" i="7"/>
  <c r="L534" i="7"/>
  <c r="Q533" i="7"/>
  <c r="O533" i="7"/>
  <c r="P533" i="7" s="1"/>
  <c r="N533" i="7"/>
  <c r="M533" i="7"/>
  <c r="L533" i="7"/>
  <c r="Q532" i="7"/>
  <c r="O532" i="7"/>
  <c r="P532" i="7" s="1"/>
  <c r="N532" i="7"/>
  <c r="M532" i="7"/>
  <c r="L532" i="7"/>
  <c r="Q531" i="7"/>
  <c r="O531" i="7"/>
  <c r="P531" i="7" s="1"/>
  <c r="N531" i="7"/>
  <c r="M531" i="7"/>
  <c r="L531" i="7"/>
  <c r="Q530" i="7"/>
  <c r="O530" i="7"/>
  <c r="P530" i="7" s="1"/>
  <c r="N530" i="7"/>
  <c r="M530" i="7"/>
  <c r="L530" i="7"/>
  <c r="Q529" i="7"/>
  <c r="O529" i="7"/>
  <c r="P529" i="7" s="1"/>
  <c r="N529" i="7"/>
  <c r="M529" i="7"/>
  <c r="L529" i="7"/>
  <c r="Q528" i="7"/>
  <c r="O528" i="7"/>
  <c r="P528" i="7" s="1"/>
  <c r="N528" i="7"/>
  <c r="M528" i="7"/>
  <c r="L528" i="7"/>
  <c r="Q527" i="7"/>
  <c r="O527" i="7"/>
  <c r="P527" i="7" s="1"/>
  <c r="N527" i="7"/>
  <c r="M527" i="7"/>
  <c r="L527" i="7"/>
  <c r="Q526" i="7"/>
  <c r="O526" i="7"/>
  <c r="P526" i="7" s="1"/>
  <c r="N526" i="7"/>
  <c r="M526" i="7"/>
  <c r="L526" i="7"/>
  <c r="Q525" i="7"/>
  <c r="O525" i="7"/>
  <c r="P525" i="7" s="1"/>
  <c r="N525" i="7"/>
  <c r="M525" i="7"/>
  <c r="L525" i="7"/>
  <c r="Q524" i="7"/>
  <c r="O524" i="7"/>
  <c r="P524" i="7" s="1"/>
  <c r="N524" i="7"/>
  <c r="M524" i="7"/>
  <c r="L524" i="7"/>
  <c r="Q523" i="7"/>
  <c r="O523" i="7"/>
  <c r="P523" i="7" s="1"/>
  <c r="N523" i="7"/>
  <c r="M523" i="7"/>
  <c r="L523" i="7"/>
  <c r="Q522" i="7"/>
  <c r="O522" i="7"/>
  <c r="P522" i="7" s="1"/>
  <c r="N522" i="7"/>
  <c r="M522" i="7"/>
  <c r="L522" i="7"/>
  <c r="Q521" i="7"/>
  <c r="O521" i="7"/>
  <c r="P521" i="7" s="1"/>
  <c r="N521" i="7"/>
  <c r="M521" i="7"/>
  <c r="L521" i="7"/>
  <c r="Q520" i="7"/>
  <c r="O520" i="7"/>
  <c r="P520" i="7" s="1"/>
  <c r="N520" i="7"/>
  <c r="M520" i="7"/>
  <c r="L520" i="7"/>
  <c r="Q519" i="7"/>
  <c r="O519" i="7"/>
  <c r="P519" i="7" s="1"/>
  <c r="N519" i="7"/>
  <c r="M519" i="7"/>
  <c r="L519" i="7"/>
  <c r="Q518" i="7"/>
  <c r="O518" i="7"/>
  <c r="P518" i="7" s="1"/>
  <c r="N518" i="7"/>
  <c r="M518" i="7"/>
  <c r="L518" i="7"/>
  <c r="Q517" i="7"/>
  <c r="O517" i="7"/>
  <c r="P517" i="7" s="1"/>
  <c r="N517" i="7"/>
  <c r="M517" i="7"/>
  <c r="L517" i="7"/>
  <c r="Q516" i="7"/>
  <c r="O516" i="7"/>
  <c r="P516" i="7" s="1"/>
  <c r="N516" i="7"/>
  <c r="M516" i="7"/>
  <c r="L516" i="7"/>
  <c r="Q515" i="7"/>
  <c r="O515" i="7"/>
  <c r="P515" i="7" s="1"/>
  <c r="N515" i="7"/>
  <c r="M515" i="7"/>
  <c r="L515" i="7"/>
  <c r="Q514" i="7"/>
  <c r="O514" i="7"/>
  <c r="P514" i="7" s="1"/>
  <c r="N514" i="7"/>
  <c r="M514" i="7"/>
  <c r="L514" i="7"/>
  <c r="Q513" i="7"/>
  <c r="O513" i="7"/>
  <c r="P513" i="7" s="1"/>
  <c r="N513" i="7"/>
  <c r="M513" i="7"/>
  <c r="L513" i="7"/>
  <c r="Q512" i="7"/>
  <c r="O512" i="7"/>
  <c r="P512" i="7" s="1"/>
  <c r="N512" i="7"/>
  <c r="M512" i="7"/>
  <c r="L512" i="7"/>
  <c r="Q511" i="7"/>
  <c r="O511" i="7"/>
  <c r="P511" i="7" s="1"/>
  <c r="N511" i="7"/>
  <c r="M511" i="7"/>
  <c r="L511" i="7"/>
  <c r="Q510" i="7"/>
  <c r="O510" i="7"/>
  <c r="P510" i="7" s="1"/>
  <c r="N510" i="7"/>
  <c r="M510" i="7"/>
  <c r="L510" i="7"/>
  <c r="Q509" i="7"/>
  <c r="O509" i="7"/>
  <c r="P509" i="7" s="1"/>
  <c r="N509" i="7"/>
  <c r="M509" i="7"/>
  <c r="L509" i="7"/>
  <c r="Q508" i="7"/>
  <c r="O508" i="7"/>
  <c r="P508" i="7" s="1"/>
  <c r="N508" i="7"/>
  <c r="M508" i="7"/>
  <c r="L508" i="7"/>
  <c r="Q507" i="7"/>
  <c r="O507" i="7"/>
  <c r="P507" i="7" s="1"/>
  <c r="N507" i="7"/>
  <c r="M507" i="7"/>
  <c r="L507" i="7"/>
  <c r="Q506" i="7"/>
  <c r="O506" i="7"/>
  <c r="P506" i="7" s="1"/>
  <c r="N506" i="7"/>
  <c r="M506" i="7"/>
  <c r="L506" i="7"/>
  <c r="Q505" i="7"/>
  <c r="O505" i="7"/>
  <c r="P505" i="7" s="1"/>
  <c r="N505" i="7"/>
  <c r="M505" i="7"/>
  <c r="L505" i="7"/>
  <c r="Q504" i="7"/>
  <c r="O504" i="7"/>
  <c r="P504" i="7" s="1"/>
  <c r="N504" i="7"/>
  <c r="M504" i="7"/>
  <c r="L504" i="7"/>
  <c r="Q503" i="7"/>
  <c r="O503" i="7"/>
  <c r="P503" i="7" s="1"/>
  <c r="N503" i="7"/>
  <c r="M503" i="7"/>
  <c r="L503" i="7"/>
  <c r="Q502" i="7"/>
  <c r="O502" i="7"/>
  <c r="P502" i="7" s="1"/>
  <c r="N502" i="7"/>
  <c r="M502" i="7"/>
  <c r="L502" i="7"/>
  <c r="Q501" i="7"/>
  <c r="O501" i="7"/>
  <c r="P501" i="7" s="1"/>
  <c r="N501" i="7"/>
  <c r="M501" i="7"/>
  <c r="L501" i="7"/>
  <c r="Q500" i="7"/>
  <c r="O500" i="7"/>
  <c r="P500" i="7" s="1"/>
  <c r="N500" i="7"/>
  <c r="M500" i="7"/>
  <c r="L500" i="7"/>
  <c r="Q499" i="7"/>
  <c r="O499" i="7"/>
  <c r="P499" i="7" s="1"/>
  <c r="N499" i="7"/>
  <c r="M499" i="7"/>
  <c r="L499" i="7"/>
  <c r="Q498" i="7"/>
  <c r="O498" i="7"/>
  <c r="P498" i="7" s="1"/>
  <c r="N498" i="7"/>
  <c r="M498" i="7"/>
  <c r="L498" i="7"/>
  <c r="Q497" i="7"/>
  <c r="O497" i="7"/>
  <c r="P497" i="7" s="1"/>
  <c r="N497" i="7"/>
  <c r="M497" i="7"/>
  <c r="L497" i="7"/>
  <c r="Q496" i="7"/>
  <c r="O496" i="7"/>
  <c r="P496" i="7" s="1"/>
  <c r="N496" i="7"/>
  <c r="M496" i="7"/>
  <c r="L496" i="7"/>
  <c r="Q495" i="7"/>
  <c r="O495" i="7"/>
  <c r="P495" i="7" s="1"/>
  <c r="N495" i="7"/>
  <c r="M495" i="7"/>
  <c r="L495" i="7"/>
  <c r="Q494" i="7"/>
  <c r="O494" i="7"/>
  <c r="P494" i="7" s="1"/>
  <c r="N494" i="7"/>
  <c r="M494" i="7"/>
  <c r="L494" i="7"/>
  <c r="Q493" i="7"/>
  <c r="O493" i="7"/>
  <c r="P493" i="7" s="1"/>
  <c r="N493" i="7"/>
  <c r="M493" i="7"/>
  <c r="L493" i="7"/>
  <c r="Q492" i="7"/>
  <c r="O492" i="7"/>
  <c r="P492" i="7" s="1"/>
  <c r="N492" i="7"/>
  <c r="M492" i="7"/>
  <c r="L492" i="7"/>
  <c r="Q491" i="7"/>
  <c r="O491" i="7"/>
  <c r="P491" i="7" s="1"/>
  <c r="N491" i="7"/>
  <c r="M491" i="7"/>
  <c r="L491" i="7"/>
  <c r="Q490" i="7"/>
  <c r="O490" i="7"/>
  <c r="P490" i="7" s="1"/>
  <c r="N490" i="7"/>
  <c r="M490" i="7"/>
  <c r="L490" i="7"/>
  <c r="Q489" i="7"/>
  <c r="O489" i="7"/>
  <c r="P489" i="7" s="1"/>
  <c r="N489" i="7"/>
  <c r="M489" i="7"/>
  <c r="L489" i="7"/>
  <c r="Q488" i="7"/>
  <c r="O488" i="7"/>
  <c r="P488" i="7" s="1"/>
  <c r="N488" i="7"/>
  <c r="M488" i="7"/>
  <c r="L488" i="7"/>
  <c r="Q487" i="7"/>
  <c r="O487" i="7"/>
  <c r="P487" i="7" s="1"/>
  <c r="N487" i="7"/>
  <c r="M487" i="7"/>
  <c r="L487" i="7"/>
  <c r="Q486" i="7"/>
  <c r="O486" i="7"/>
  <c r="P486" i="7" s="1"/>
  <c r="N486" i="7"/>
  <c r="M486" i="7"/>
  <c r="L486" i="7"/>
  <c r="Q485" i="7"/>
  <c r="O485" i="7"/>
  <c r="P485" i="7" s="1"/>
  <c r="N485" i="7"/>
  <c r="M485" i="7"/>
  <c r="L485" i="7"/>
  <c r="Q484" i="7"/>
  <c r="O484" i="7"/>
  <c r="P484" i="7" s="1"/>
  <c r="N484" i="7"/>
  <c r="M484" i="7"/>
  <c r="L484" i="7"/>
  <c r="Q483" i="7"/>
  <c r="O483" i="7"/>
  <c r="P483" i="7" s="1"/>
  <c r="N483" i="7"/>
  <c r="M483" i="7"/>
  <c r="L483" i="7"/>
  <c r="Q482" i="7"/>
  <c r="O482" i="7"/>
  <c r="P482" i="7" s="1"/>
  <c r="N482" i="7"/>
  <c r="M482" i="7"/>
  <c r="L482" i="7"/>
  <c r="Q481" i="7"/>
  <c r="O481" i="7"/>
  <c r="P481" i="7" s="1"/>
  <c r="N481" i="7"/>
  <c r="M481" i="7"/>
  <c r="L481" i="7"/>
  <c r="Q480" i="7"/>
  <c r="O480" i="7"/>
  <c r="P480" i="7" s="1"/>
  <c r="N480" i="7"/>
  <c r="M480" i="7"/>
  <c r="L480" i="7"/>
  <c r="Q479" i="7"/>
  <c r="O479" i="7"/>
  <c r="P479" i="7" s="1"/>
  <c r="N479" i="7"/>
  <c r="M479" i="7"/>
  <c r="L479" i="7"/>
  <c r="Q478" i="7"/>
  <c r="O478" i="7"/>
  <c r="P478" i="7" s="1"/>
  <c r="N478" i="7"/>
  <c r="M478" i="7"/>
  <c r="L478" i="7"/>
  <c r="Q477" i="7"/>
  <c r="O477" i="7"/>
  <c r="P477" i="7" s="1"/>
  <c r="N477" i="7"/>
  <c r="M477" i="7"/>
  <c r="L477" i="7"/>
  <c r="Q476" i="7"/>
  <c r="O476" i="7"/>
  <c r="P476" i="7" s="1"/>
  <c r="N476" i="7"/>
  <c r="M476" i="7"/>
  <c r="L476" i="7"/>
  <c r="Q475" i="7"/>
  <c r="O475" i="7"/>
  <c r="P475" i="7" s="1"/>
  <c r="N475" i="7"/>
  <c r="M475" i="7"/>
  <c r="L475" i="7"/>
  <c r="Q474" i="7"/>
  <c r="O474" i="7"/>
  <c r="P474" i="7" s="1"/>
  <c r="N474" i="7"/>
  <c r="M474" i="7"/>
  <c r="L474" i="7"/>
  <c r="Q473" i="7"/>
  <c r="O473" i="7"/>
  <c r="P473" i="7" s="1"/>
  <c r="N473" i="7"/>
  <c r="M473" i="7"/>
  <c r="L473" i="7"/>
  <c r="Q472" i="7"/>
  <c r="O472" i="7"/>
  <c r="P472" i="7" s="1"/>
  <c r="N472" i="7"/>
  <c r="M472" i="7"/>
  <c r="L472" i="7"/>
  <c r="Q471" i="7"/>
  <c r="O471" i="7"/>
  <c r="P471" i="7" s="1"/>
  <c r="N471" i="7"/>
  <c r="M471" i="7"/>
  <c r="L471" i="7"/>
  <c r="Q470" i="7"/>
  <c r="O470" i="7"/>
  <c r="P470" i="7" s="1"/>
  <c r="N470" i="7"/>
  <c r="M470" i="7"/>
  <c r="L470" i="7"/>
  <c r="Q469" i="7"/>
  <c r="O469" i="7"/>
  <c r="P469" i="7" s="1"/>
  <c r="N469" i="7"/>
  <c r="M469" i="7"/>
  <c r="L469" i="7"/>
  <c r="Q468" i="7"/>
  <c r="O468" i="7"/>
  <c r="P468" i="7" s="1"/>
  <c r="N468" i="7"/>
  <c r="M468" i="7"/>
  <c r="L468" i="7"/>
  <c r="Q467" i="7"/>
  <c r="O467" i="7"/>
  <c r="P467" i="7" s="1"/>
  <c r="N467" i="7"/>
  <c r="M467" i="7"/>
  <c r="L467" i="7"/>
  <c r="Q466" i="7"/>
  <c r="O466" i="7"/>
  <c r="P466" i="7" s="1"/>
  <c r="N466" i="7"/>
  <c r="M466" i="7"/>
  <c r="L466" i="7"/>
  <c r="Q465" i="7"/>
  <c r="O465" i="7"/>
  <c r="P465" i="7" s="1"/>
  <c r="N465" i="7"/>
  <c r="M465" i="7"/>
  <c r="L465" i="7"/>
  <c r="Q464" i="7"/>
  <c r="O464" i="7"/>
  <c r="P464" i="7" s="1"/>
  <c r="N464" i="7"/>
  <c r="M464" i="7"/>
  <c r="L464" i="7"/>
  <c r="Q463" i="7"/>
  <c r="O463" i="7"/>
  <c r="P463" i="7" s="1"/>
  <c r="N463" i="7"/>
  <c r="M463" i="7"/>
  <c r="L463" i="7"/>
  <c r="Q462" i="7"/>
  <c r="O462" i="7"/>
  <c r="P462" i="7" s="1"/>
  <c r="N462" i="7"/>
  <c r="M462" i="7"/>
  <c r="L462" i="7"/>
  <c r="Q461" i="7"/>
  <c r="O461" i="7"/>
  <c r="P461" i="7" s="1"/>
  <c r="N461" i="7"/>
  <c r="M461" i="7"/>
  <c r="L461" i="7"/>
  <c r="Q460" i="7"/>
  <c r="O460" i="7"/>
  <c r="P460" i="7" s="1"/>
  <c r="N460" i="7"/>
  <c r="M460" i="7"/>
  <c r="L460" i="7"/>
  <c r="Q459" i="7"/>
  <c r="O459" i="7"/>
  <c r="P459" i="7" s="1"/>
  <c r="N459" i="7"/>
  <c r="M459" i="7"/>
  <c r="L459" i="7"/>
  <c r="Q458" i="7"/>
  <c r="O458" i="7"/>
  <c r="P458" i="7" s="1"/>
  <c r="N458" i="7"/>
  <c r="M458" i="7"/>
  <c r="L458" i="7"/>
  <c r="Q457" i="7"/>
  <c r="O457" i="7"/>
  <c r="P457" i="7" s="1"/>
  <c r="N457" i="7"/>
  <c r="M457" i="7"/>
  <c r="L457" i="7"/>
  <c r="Q456" i="7"/>
  <c r="O456" i="7"/>
  <c r="P456" i="7" s="1"/>
  <c r="N456" i="7"/>
  <c r="M456" i="7"/>
  <c r="L456" i="7"/>
  <c r="Q455" i="7"/>
  <c r="O455" i="7"/>
  <c r="P455" i="7" s="1"/>
  <c r="N455" i="7"/>
  <c r="M455" i="7"/>
  <c r="L455" i="7"/>
  <c r="Q454" i="7"/>
  <c r="O454" i="7"/>
  <c r="P454" i="7" s="1"/>
  <c r="N454" i="7"/>
  <c r="M454" i="7"/>
  <c r="L454" i="7"/>
  <c r="Q453" i="7"/>
  <c r="O453" i="7"/>
  <c r="P453" i="7" s="1"/>
  <c r="N453" i="7"/>
  <c r="M453" i="7"/>
  <c r="L453" i="7"/>
  <c r="Q452" i="7"/>
  <c r="O452" i="7"/>
  <c r="P452" i="7" s="1"/>
  <c r="N452" i="7"/>
  <c r="M452" i="7"/>
  <c r="L452" i="7"/>
  <c r="Q451" i="7"/>
  <c r="O451" i="7"/>
  <c r="P451" i="7" s="1"/>
  <c r="N451" i="7"/>
  <c r="M451" i="7"/>
  <c r="L451" i="7"/>
  <c r="Q450" i="7"/>
  <c r="O450" i="7"/>
  <c r="P450" i="7" s="1"/>
  <c r="N450" i="7"/>
  <c r="M450" i="7"/>
  <c r="L450" i="7"/>
  <c r="Q449" i="7"/>
  <c r="O449" i="7"/>
  <c r="P449" i="7" s="1"/>
  <c r="N449" i="7"/>
  <c r="M449" i="7"/>
  <c r="L449" i="7"/>
  <c r="Q448" i="7"/>
  <c r="O448" i="7"/>
  <c r="P448" i="7" s="1"/>
  <c r="N448" i="7"/>
  <c r="M448" i="7"/>
  <c r="L448" i="7"/>
  <c r="Q447" i="7"/>
  <c r="O447" i="7"/>
  <c r="P447" i="7" s="1"/>
  <c r="N447" i="7"/>
  <c r="M447" i="7"/>
  <c r="L447" i="7"/>
  <c r="Q446" i="7"/>
  <c r="O446" i="7"/>
  <c r="P446" i="7" s="1"/>
  <c r="N446" i="7"/>
  <c r="M446" i="7"/>
  <c r="L446" i="7"/>
  <c r="Q445" i="7"/>
  <c r="O445" i="7"/>
  <c r="P445" i="7" s="1"/>
  <c r="N445" i="7"/>
  <c r="M445" i="7"/>
  <c r="L445" i="7"/>
  <c r="Q444" i="7"/>
  <c r="O444" i="7"/>
  <c r="P444" i="7" s="1"/>
  <c r="N444" i="7"/>
  <c r="M444" i="7"/>
  <c r="L444" i="7"/>
  <c r="Q443" i="7"/>
  <c r="O443" i="7"/>
  <c r="P443" i="7" s="1"/>
  <c r="N443" i="7"/>
  <c r="M443" i="7"/>
  <c r="L443" i="7"/>
  <c r="Q442" i="7"/>
  <c r="O442" i="7"/>
  <c r="P442" i="7" s="1"/>
  <c r="N442" i="7"/>
  <c r="M442" i="7"/>
  <c r="L442" i="7"/>
  <c r="Q441" i="7"/>
  <c r="O441" i="7"/>
  <c r="P441" i="7" s="1"/>
  <c r="N441" i="7"/>
  <c r="M441" i="7"/>
  <c r="L441" i="7"/>
  <c r="Q440" i="7"/>
  <c r="O440" i="7"/>
  <c r="P440" i="7" s="1"/>
  <c r="N440" i="7"/>
  <c r="M440" i="7"/>
  <c r="L440" i="7"/>
  <c r="Q439" i="7"/>
  <c r="O439" i="7"/>
  <c r="P439" i="7" s="1"/>
  <c r="N439" i="7"/>
  <c r="M439" i="7"/>
  <c r="L439" i="7"/>
  <c r="Q438" i="7"/>
  <c r="O438" i="7"/>
  <c r="P438" i="7" s="1"/>
  <c r="N438" i="7"/>
  <c r="M438" i="7"/>
  <c r="L438" i="7"/>
  <c r="Q437" i="7"/>
  <c r="O437" i="7"/>
  <c r="P437" i="7" s="1"/>
  <c r="N437" i="7"/>
  <c r="M437" i="7"/>
  <c r="L437" i="7"/>
  <c r="Q436" i="7"/>
  <c r="O436" i="7"/>
  <c r="P436" i="7" s="1"/>
  <c r="N436" i="7"/>
  <c r="M436" i="7"/>
  <c r="L436" i="7"/>
  <c r="Q435" i="7"/>
  <c r="O435" i="7"/>
  <c r="P435" i="7" s="1"/>
  <c r="N435" i="7"/>
  <c r="M435" i="7"/>
  <c r="L435" i="7"/>
  <c r="Q434" i="7"/>
  <c r="O434" i="7"/>
  <c r="P434" i="7" s="1"/>
  <c r="N434" i="7"/>
  <c r="M434" i="7"/>
  <c r="L434" i="7"/>
  <c r="Q433" i="7"/>
  <c r="O433" i="7"/>
  <c r="P433" i="7" s="1"/>
  <c r="N433" i="7"/>
  <c r="M433" i="7"/>
  <c r="L433" i="7"/>
  <c r="Q432" i="7"/>
  <c r="O432" i="7"/>
  <c r="P432" i="7" s="1"/>
  <c r="N432" i="7"/>
  <c r="M432" i="7"/>
  <c r="L432" i="7"/>
  <c r="Q431" i="7"/>
  <c r="O431" i="7"/>
  <c r="P431" i="7" s="1"/>
  <c r="N431" i="7"/>
  <c r="M431" i="7"/>
  <c r="L431" i="7"/>
  <c r="Q430" i="7"/>
  <c r="O430" i="7"/>
  <c r="P430" i="7" s="1"/>
  <c r="N430" i="7"/>
  <c r="M430" i="7"/>
  <c r="L430" i="7"/>
  <c r="Q429" i="7"/>
  <c r="O429" i="7"/>
  <c r="P429" i="7" s="1"/>
  <c r="N429" i="7"/>
  <c r="M429" i="7"/>
  <c r="L429" i="7"/>
  <c r="Q428" i="7"/>
  <c r="O428" i="7"/>
  <c r="P428" i="7" s="1"/>
  <c r="N428" i="7"/>
  <c r="M428" i="7"/>
  <c r="L428" i="7"/>
  <c r="Q427" i="7"/>
  <c r="O427" i="7"/>
  <c r="P427" i="7" s="1"/>
  <c r="N427" i="7"/>
  <c r="M427" i="7"/>
  <c r="L427" i="7"/>
  <c r="Q426" i="7"/>
  <c r="O426" i="7"/>
  <c r="P426" i="7" s="1"/>
  <c r="N426" i="7"/>
  <c r="M426" i="7"/>
  <c r="L426" i="7"/>
  <c r="Q425" i="7"/>
  <c r="O425" i="7"/>
  <c r="P425" i="7" s="1"/>
  <c r="N425" i="7"/>
  <c r="M425" i="7"/>
  <c r="L425" i="7"/>
  <c r="Q424" i="7"/>
  <c r="O424" i="7"/>
  <c r="P424" i="7" s="1"/>
  <c r="N424" i="7"/>
  <c r="M424" i="7"/>
  <c r="L424" i="7"/>
  <c r="Q423" i="7"/>
  <c r="O423" i="7"/>
  <c r="P423" i="7" s="1"/>
  <c r="N423" i="7"/>
  <c r="M423" i="7"/>
  <c r="L423" i="7"/>
  <c r="Q422" i="7"/>
  <c r="O422" i="7"/>
  <c r="P422" i="7" s="1"/>
  <c r="N422" i="7"/>
  <c r="M422" i="7"/>
  <c r="L422" i="7"/>
  <c r="Q421" i="7"/>
  <c r="O421" i="7"/>
  <c r="P421" i="7" s="1"/>
  <c r="N421" i="7"/>
  <c r="M421" i="7"/>
  <c r="L421" i="7"/>
  <c r="Q420" i="7"/>
  <c r="O420" i="7"/>
  <c r="P420" i="7" s="1"/>
  <c r="N420" i="7"/>
  <c r="M420" i="7"/>
  <c r="L420" i="7"/>
  <c r="Q419" i="7"/>
  <c r="O419" i="7"/>
  <c r="P419" i="7" s="1"/>
  <c r="N419" i="7"/>
  <c r="M419" i="7"/>
  <c r="L419" i="7"/>
  <c r="Q418" i="7"/>
  <c r="O418" i="7"/>
  <c r="P418" i="7" s="1"/>
  <c r="N418" i="7"/>
  <c r="M418" i="7"/>
  <c r="L418" i="7"/>
  <c r="Q417" i="7"/>
  <c r="O417" i="7"/>
  <c r="P417" i="7" s="1"/>
  <c r="N417" i="7"/>
  <c r="M417" i="7"/>
  <c r="L417" i="7"/>
  <c r="Q416" i="7"/>
  <c r="O416" i="7"/>
  <c r="P416" i="7" s="1"/>
  <c r="N416" i="7"/>
  <c r="M416" i="7"/>
  <c r="L416" i="7"/>
  <c r="Q415" i="7"/>
  <c r="O415" i="7"/>
  <c r="P415" i="7" s="1"/>
  <c r="N415" i="7"/>
  <c r="M415" i="7"/>
  <c r="L415" i="7"/>
  <c r="Q414" i="7"/>
  <c r="O414" i="7"/>
  <c r="P414" i="7" s="1"/>
  <c r="N414" i="7"/>
  <c r="M414" i="7"/>
  <c r="L414" i="7"/>
  <c r="Q413" i="7"/>
  <c r="O413" i="7"/>
  <c r="P413" i="7" s="1"/>
  <c r="N413" i="7"/>
  <c r="M413" i="7"/>
  <c r="L413" i="7"/>
  <c r="Q412" i="7"/>
  <c r="O412" i="7"/>
  <c r="P412" i="7" s="1"/>
  <c r="N412" i="7"/>
  <c r="M412" i="7"/>
  <c r="L412" i="7"/>
  <c r="Q411" i="7"/>
  <c r="O411" i="7"/>
  <c r="P411" i="7" s="1"/>
  <c r="N411" i="7"/>
  <c r="M411" i="7"/>
  <c r="L411" i="7"/>
  <c r="Q410" i="7"/>
  <c r="O410" i="7"/>
  <c r="P410" i="7" s="1"/>
  <c r="N410" i="7"/>
  <c r="M410" i="7"/>
  <c r="L410" i="7"/>
  <c r="Q409" i="7"/>
  <c r="O409" i="7"/>
  <c r="P409" i="7" s="1"/>
  <c r="N409" i="7"/>
  <c r="M409" i="7"/>
  <c r="L409" i="7"/>
  <c r="Q408" i="7"/>
  <c r="O408" i="7"/>
  <c r="P408" i="7" s="1"/>
  <c r="N408" i="7"/>
  <c r="M408" i="7"/>
  <c r="L408" i="7"/>
  <c r="Q407" i="7"/>
  <c r="O407" i="7"/>
  <c r="P407" i="7" s="1"/>
  <c r="N407" i="7"/>
  <c r="M407" i="7"/>
  <c r="L407" i="7"/>
  <c r="Q406" i="7"/>
  <c r="O406" i="7"/>
  <c r="P406" i="7" s="1"/>
  <c r="N406" i="7"/>
  <c r="M406" i="7"/>
  <c r="L406" i="7"/>
  <c r="Q405" i="7"/>
  <c r="O405" i="7"/>
  <c r="P405" i="7" s="1"/>
  <c r="N405" i="7"/>
  <c r="M405" i="7"/>
  <c r="L405" i="7"/>
  <c r="Q404" i="7"/>
  <c r="O404" i="7"/>
  <c r="P404" i="7" s="1"/>
  <c r="N404" i="7"/>
  <c r="M404" i="7"/>
  <c r="L404" i="7"/>
  <c r="Q403" i="7"/>
  <c r="O403" i="7"/>
  <c r="P403" i="7" s="1"/>
  <c r="N403" i="7"/>
  <c r="M403" i="7"/>
  <c r="L403" i="7"/>
  <c r="Q402" i="7"/>
  <c r="O402" i="7"/>
  <c r="P402" i="7" s="1"/>
  <c r="N402" i="7"/>
  <c r="M402" i="7"/>
  <c r="L402" i="7"/>
  <c r="Q401" i="7"/>
  <c r="O401" i="7"/>
  <c r="P401" i="7" s="1"/>
  <c r="N401" i="7"/>
  <c r="M401" i="7"/>
  <c r="L401" i="7"/>
  <c r="Q400" i="7"/>
  <c r="O400" i="7"/>
  <c r="P400" i="7" s="1"/>
  <c r="N400" i="7"/>
  <c r="M400" i="7"/>
  <c r="L400" i="7"/>
  <c r="Q399" i="7"/>
  <c r="O399" i="7"/>
  <c r="P399" i="7" s="1"/>
  <c r="N399" i="7"/>
  <c r="M399" i="7"/>
  <c r="L399" i="7"/>
  <c r="Q398" i="7"/>
  <c r="O398" i="7"/>
  <c r="P398" i="7" s="1"/>
  <c r="N398" i="7"/>
  <c r="M398" i="7"/>
  <c r="L398" i="7"/>
  <c r="Q397" i="7"/>
  <c r="O397" i="7"/>
  <c r="P397" i="7" s="1"/>
  <c r="N397" i="7"/>
  <c r="M397" i="7"/>
  <c r="L397" i="7"/>
  <c r="Q396" i="7"/>
  <c r="O396" i="7"/>
  <c r="P396" i="7" s="1"/>
  <c r="N396" i="7"/>
  <c r="M396" i="7"/>
  <c r="L396" i="7"/>
  <c r="Q395" i="7"/>
  <c r="O395" i="7"/>
  <c r="P395" i="7" s="1"/>
  <c r="N395" i="7"/>
  <c r="M395" i="7"/>
  <c r="L395" i="7"/>
  <c r="Q394" i="7"/>
  <c r="O394" i="7"/>
  <c r="P394" i="7" s="1"/>
  <c r="N394" i="7"/>
  <c r="M394" i="7"/>
  <c r="L394" i="7"/>
  <c r="Q393" i="7"/>
  <c r="O393" i="7"/>
  <c r="P393" i="7" s="1"/>
  <c r="N393" i="7"/>
  <c r="M393" i="7"/>
  <c r="L393" i="7"/>
  <c r="Q392" i="7"/>
  <c r="O392" i="7"/>
  <c r="P392" i="7" s="1"/>
  <c r="N392" i="7"/>
  <c r="M392" i="7"/>
  <c r="L392" i="7"/>
  <c r="Q391" i="7"/>
  <c r="O391" i="7"/>
  <c r="P391" i="7" s="1"/>
  <c r="N391" i="7"/>
  <c r="M391" i="7"/>
  <c r="L391" i="7"/>
  <c r="Q390" i="7"/>
  <c r="O390" i="7"/>
  <c r="P390" i="7" s="1"/>
  <c r="N390" i="7"/>
  <c r="M390" i="7"/>
  <c r="L390" i="7"/>
  <c r="Q389" i="7"/>
  <c r="O389" i="7"/>
  <c r="P389" i="7" s="1"/>
  <c r="N389" i="7"/>
  <c r="M389" i="7"/>
  <c r="L389" i="7"/>
  <c r="Q388" i="7"/>
  <c r="O388" i="7"/>
  <c r="P388" i="7" s="1"/>
  <c r="N388" i="7"/>
  <c r="M388" i="7"/>
  <c r="L388" i="7"/>
  <c r="Q387" i="7"/>
  <c r="O387" i="7"/>
  <c r="P387" i="7" s="1"/>
  <c r="N387" i="7"/>
  <c r="M387" i="7"/>
  <c r="L387" i="7"/>
  <c r="Q386" i="7"/>
  <c r="O386" i="7"/>
  <c r="P386" i="7" s="1"/>
  <c r="N386" i="7"/>
  <c r="M386" i="7"/>
  <c r="L386" i="7"/>
  <c r="Q385" i="7"/>
  <c r="O385" i="7"/>
  <c r="P385" i="7" s="1"/>
  <c r="N385" i="7"/>
  <c r="M385" i="7"/>
  <c r="L385" i="7"/>
  <c r="Q384" i="7"/>
  <c r="O384" i="7"/>
  <c r="P384" i="7" s="1"/>
  <c r="N384" i="7"/>
  <c r="M384" i="7"/>
  <c r="L384" i="7"/>
  <c r="Q383" i="7"/>
  <c r="O383" i="7"/>
  <c r="P383" i="7" s="1"/>
  <c r="N383" i="7"/>
  <c r="M383" i="7"/>
  <c r="L383" i="7"/>
  <c r="Q382" i="7"/>
  <c r="O382" i="7"/>
  <c r="P382" i="7" s="1"/>
  <c r="N382" i="7"/>
  <c r="M382" i="7"/>
  <c r="L382" i="7"/>
  <c r="Q381" i="7"/>
  <c r="O381" i="7"/>
  <c r="P381" i="7" s="1"/>
  <c r="N381" i="7"/>
  <c r="M381" i="7"/>
  <c r="L381" i="7"/>
  <c r="Q380" i="7"/>
  <c r="O380" i="7"/>
  <c r="P380" i="7" s="1"/>
  <c r="N380" i="7"/>
  <c r="M380" i="7"/>
  <c r="L380" i="7"/>
  <c r="Q379" i="7"/>
  <c r="O379" i="7"/>
  <c r="P379" i="7" s="1"/>
  <c r="N379" i="7"/>
  <c r="M379" i="7"/>
  <c r="L379" i="7"/>
  <c r="Q378" i="7"/>
  <c r="O378" i="7"/>
  <c r="P378" i="7" s="1"/>
  <c r="N378" i="7"/>
  <c r="M378" i="7"/>
  <c r="L378" i="7"/>
  <c r="Q377" i="7"/>
  <c r="O377" i="7"/>
  <c r="P377" i="7" s="1"/>
  <c r="N377" i="7"/>
  <c r="M377" i="7"/>
  <c r="L377" i="7"/>
  <c r="Q376" i="7"/>
  <c r="O376" i="7"/>
  <c r="P376" i="7" s="1"/>
  <c r="N376" i="7"/>
  <c r="M376" i="7"/>
  <c r="L376" i="7"/>
  <c r="Q375" i="7"/>
  <c r="O375" i="7"/>
  <c r="P375" i="7" s="1"/>
  <c r="N375" i="7"/>
  <c r="M375" i="7"/>
  <c r="L375" i="7"/>
  <c r="Q374" i="7"/>
  <c r="O374" i="7"/>
  <c r="P374" i="7" s="1"/>
  <c r="N374" i="7"/>
  <c r="M374" i="7"/>
  <c r="L374" i="7"/>
  <c r="Q373" i="7"/>
  <c r="O373" i="7"/>
  <c r="P373" i="7" s="1"/>
  <c r="N373" i="7"/>
  <c r="M373" i="7"/>
  <c r="L373" i="7"/>
  <c r="Q372" i="7"/>
  <c r="O372" i="7"/>
  <c r="P372" i="7" s="1"/>
  <c r="N372" i="7"/>
  <c r="M372" i="7"/>
  <c r="L372" i="7"/>
  <c r="Q371" i="7"/>
  <c r="O371" i="7"/>
  <c r="P371" i="7" s="1"/>
  <c r="N371" i="7"/>
  <c r="M371" i="7"/>
  <c r="L371" i="7"/>
  <c r="Q370" i="7"/>
  <c r="O370" i="7"/>
  <c r="P370" i="7" s="1"/>
  <c r="N370" i="7"/>
  <c r="M370" i="7"/>
  <c r="L370" i="7"/>
  <c r="Q369" i="7"/>
  <c r="O369" i="7"/>
  <c r="P369" i="7" s="1"/>
  <c r="N369" i="7"/>
  <c r="M369" i="7"/>
  <c r="L369" i="7"/>
  <c r="Q368" i="7"/>
  <c r="O368" i="7"/>
  <c r="P368" i="7" s="1"/>
  <c r="N368" i="7"/>
  <c r="M368" i="7"/>
  <c r="L368" i="7"/>
  <c r="Q367" i="7"/>
  <c r="O367" i="7"/>
  <c r="P367" i="7" s="1"/>
  <c r="N367" i="7"/>
  <c r="M367" i="7"/>
  <c r="L367" i="7"/>
  <c r="Q366" i="7"/>
  <c r="O366" i="7"/>
  <c r="P366" i="7" s="1"/>
  <c r="N366" i="7"/>
  <c r="M366" i="7"/>
  <c r="L366" i="7"/>
  <c r="Q365" i="7"/>
  <c r="O365" i="7"/>
  <c r="P365" i="7" s="1"/>
  <c r="N365" i="7"/>
  <c r="M365" i="7"/>
  <c r="L365" i="7"/>
  <c r="Q364" i="7"/>
  <c r="O364" i="7"/>
  <c r="P364" i="7" s="1"/>
  <c r="N364" i="7"/>
  <c r="M364" i="7"/>
  <c r="L364" i="7"/>
  <c r="Q363" i="7"/>
  <c r="O363" i="7"/>
  <c r="P363" i="7" s="1"/>
  <c r="N363" i="7"/>
  <c r="M363" i="7"/>
  <c r="L363" i="7"/>
  <c r="Q362" i="7"/>
  <c r="O362" i="7"/>
  <c r="P362" i="7" s="1"/>
  <c r="N362" i="7"/>
  <c r="M362" i="7"/>
  <c r="L362" i="7"/>
  <c r="Q361" i="7"/>
  <c r="O361" i="7"/>
  <c r="P361" i="7" s="1"/>
  <c r="N361" i="7"/>
  <c r="M361" i="7"/>
  <c r="L361" i="7"/>
  <c r="Q360" i="7"/>
  <c r="O360" i="7"/>
  <c r="P360" i="7" s="1"/>
  <c r="N360" i="7"/>
  <c r="M360" i="7"/>
  <c r="L360" i="7"/>
  <c r="Q359" i="7"/>
  <c r="O359" i="7"/>
  <c r="P359" i="7" s="1"/>
  <c r="N359" i="7"/>
  <c r="M359" i="7"/>
  <c r="L359" i="7"/>
  <c r="Q358" i="7"/>
  <c r="O358" i="7"/>
  <c r="P358" i="7" s="1"/>
  <c r="N358" i="7"/>
  <c r="M358" i="7"/>
  <c r="L358" i="7"/>
  <c r="Q357" i="7"/>
  <c r="O357" i="7"/>
  <c r="P357" i="7" s="1"/>
  <c r="N357" i="7"/>
  <c r="M357" i="7"/>
  <c r="L357" i="7"/>
  <c r="Q356" i="7"/>
  <c r="O356" i="7"/>
  <c r="P356" i="7" s="1"/>
  <c r="N356" i="7"/>
  <c r="M356" i="7"/>
  <c r="L356" i="7"/>
  <c r="Q355" i="7"/>
  <c r="O355" i="7"/>
  <c r="P355" i="7" s="1"/>
  <c r="N355" i="7"/>
  <c r="M355" i="7"/>
  <c r="L355" i="7"/>
  <c r="Q354" i="7"/>
  <c r="O354" i="7"/>
  <c r="P354" i="7" s="1"/>
  <c r="N354" i="7"/>
  <c r="M354" i="7"/>
  <c r="L354" i="7"/>
  <c r="Q353" i="7"/>
  <c r="O353" i="7"/>
  <c r="P353" i="7" s="1"/>
  <c r="N353" i="7"/>
  <c r="M353" i="7"/>
  <c r="L353" i="7"/>
  <c r="Q352" i="7"/>
  <c r="O352" i="7"/>
  <c r="P352" i="7" s="1"/>
  <c r="N352" i="7"/>
  <c r="M352" i="7"/>
  <c r="L352" i="7"/>
  <c r="Q351" i="7"/>
  <c r="O351" i="7"/>
  <c r="P351" i="7" s="1"/>
  <c r="N351" i="7"/>
  <c r="M351" i="7"/>
  <c r="L351" i="7"/>
  <c r="Q350" i="7"/>
  <c r="O350" i="7"/>
  <c r="P350" i="7" s="1"/>
  <c r="N350" i="7"/>
  <c r="M350" i="7"/>
  <c r="L350" i="7"/>
  <c r="Q349" i="7"/>
  <c r="O349" i="7"/>
  <c r="P349" i="7" s="1"/>
  <c r="N349" i="7"/>
  <c r="M349" i="7"/>
  <c r="L349" i="7"/>
  <c r="Q348" i="7"/>
  <c r="O348" i="7"/>
  <c r="P348" i="7" s="1"/>
  <c r="N348" i="7"/>
  <c r="M348" i="7"/>
  <c r="L348" i="7"/>
  <c r="Q347" i="7"/>
  <c r="O347" i="7"/>
  <c r="P347" i="7" s="1"/>
  <c r="N347" i="7"/>
  <c r="M347" i="7"/>
  <c r="L347" i="7"/>
  <c r="Q346" i="7"/>
  <c r="O346" i="7"/>
  <c r="P346" i="7" s="1"/>
  <c r="N346" i="7"/>
  <c r="M346" i="7"/>
  <c r="L346" i="7"/>
  <c r="Q345" i="7"/>
  <c r="O345" i="7"/>
  <c r="P345" i="7" s="1"/>
  <c r="N345" i="7"/>
  <c r="M345" i="7"/>
  <c r="L345" i="7"/>
  <c r="Q344" i="7"/>
  <c r="O344" i="7"/>
  <c r="P344" i="7" s="1"/>
  <c r="N344" i="7"/>
  <c r="M344" i="7"/>
  <c r="L344" i="7"/>
  <c r="Q343" i="7"/>
  <c r="O343" i="7"/>
  <c r="P343" i="7" s="1"/>
  <c r="N343" i="7"/>
  <c r="M343" i="7"/>
  <c r="L343" i="7"/>
  <c r="Q342" i="7"/>
  <c r="O342" i="7"/>
  <c r="P342" i="7" s="1"/>
  <c r="N342" i="7"/>
  <c r="M342" i="7"/>
  <c r="L342" i="7"/>
  <c r="Q341" i="7"/>
  <c r="O341" i="7"/>
  <c r="P341" i="7" s="1"/>
  <c r="N341" i="7"/>
  <c r="M341" i="7"/>
  <c r="L341" i="7"/>
  <c r="Q340" i="7"/>
  <c r="O340" i="7"/>
  <c r="P340" i="7" s="1"/>
  <c r="N340" i="7"/>
  <c r="M340" i="7"/>
  <c r="L340" i="7"/>
  <c r="Q339" i="7"/>
  <c r="O339" i="7"/>
  <c r="P339" i="7" s="1"/>
  <c r="N339" i="7"/>
  <c r="M339" i="7"/>
  <c r="L339" i="7"/>
  <c r="Q338" i="7"/>
  <c r="O338" i="7"/>
  <c r="P338" i="7" s="1"/>
  <c r="N338" i="7"/>
  <c r="M338" i="7"/>
  <c r="L338" i="7"/>
  <c r="Q337" i="7"/>
  <c r="O337" i="7"/>
  <c r="P337" i="7" s="1"/>
  <c r="N337" i="7"/>
  <c r="M337" i="7"/>
  <c r="L337" i="7"/>
  <c r="Q336" i="7"/>
  <c r="O336" i="7"/>
  <c r="P336" i="7" s="1"/>
  <c r="N336" i="7"/>
  <c r="M336" i="7"/>
  <c r="L336" i="7"/>
  <c r="Q335" i="7"/>
  <c r="O335" i="7"/>
  <c r="P335" i="7" s="1"/>
  <c r="N335" i="7"/>
  <c r="M335" i="7"/>
  <c r="L335" i="7"/>
  <c r="Q334" i="7"/>
  <c r="O334" i="7"/>
  <c r="P334" i="7" s="1"/>
  <c r="N334" i="7"/>
  <c r="M334" i="7"/>
  <c r="L334" i="7"/>
  <c r="Q333" i="7"/>
  <c r="O333" i="7"/>
  <c r="P333" i="7" s="1"/>
  <c r="N333" i="7"/>
  <c r="M333" i="7"/>
  <c r="L333" i="7"/>
  <c r="Q332" i="7"/>
  <c r="O332" i="7"/>
  <c r="P332" i="7" s="1"/>
  <c r="N332" i="7"/>
  <c r="M332" i="7"/>
  <c r="L332" i="7"/>
  <c r="Q331" i="7"/>
  <c r="O331" i="7"/>
  <c r="P331" i="7" s="1"/>
  <c r="N331" i="7"/>
  <c r="M331" i="7"/>
  <c r="L331" i="7"/>
  <c r="Q330" i="7"/>
  <c r="O330" i="7"/>
  <c r="P330" i="7" s="1"/>
  <c r="N330" i="7"/>
  <c r="M330" i="7"/>
  <c r="L330" i="7"/>
  <c r="Q329" i="7"/>
  <c r="O329" i="7"/>
  <c r="P329" i="7" s="1"/>
  <c r="N329" i="7"/>
  <c r="M329" i="7"/>
  <c r="L329" i="7"/>
  <c r="Q328" i="7"/>
  <c r="O328" i="7"/>
  <c r="P328" i="7" s="1"/>
  <c r="N328" i="7"/>
  <c r="M328" i="7"/>
  <c r="L328" i="7"/>
  <c r="Q327" i="7"/>
  <c r="O327" i="7"/>
  <c r="P327" i="7" s="1"/>
  <c r="N327" i="7"/>
  <c r="M327" i="7"/>
  <c r="L327" i="7"/>
  <c r="Q326" i="7"/>
  <c r="O326" i="7"/>
  <c r="P326" i="7" s="1"/>
  <c r="N326" i="7"/>
  <c r="M326" i="7"/>
  <c r="L326" i="7"/>
  <c r="Q325" i="7"/>
  <c r="O325" i="7"/>
  <c r="P325" i="7" s="1"/>
  <c r="N325" i="7"/>
  <c r="M325" i="7"/>
  <c r="L325" i="7"/>
  <c r="Q324" i="7"/>
  <c r="O324" i="7"/>
  <c r="P324" i="7" s="1"/>
  <c r="N324" i="7"/>
  <c r="M324" i="7"/>
  <c r="L324" i="7"/>
  <c r="Q323" i="7"/>
  <c r="O323" i="7"/>
  <c r="P323" i="7" s="1"/>
  <c r="N323" i="7"/>
  <c r="M323" i="7"/>
  <c r="L323" i="7"/>
  <c r="Q322" i="7"/>
  <c r="O322" i="7"/>
  <c r="P322" i="7" s="1"/>
  <c r="N322" i="7"/>
  <c r="M322" i="7"/>
  <c r="L322" i="7"/>
  <c r="Q321" i="7"/>
  <c r="O321" i="7"/>
  <c r="P321" i="7" s="1"/>
  <c r="N321" i="7"/>
  <c r="M321" i="7"/>
  <c r="L321" i="7"/>
  <c r="Q320" i="7"/>
  <c r="O320" i="7"/>
  <c r="P320" i="7" s="1"/>
  <c r="N320" i="7"/>
  <c r="M320" i="7"/>
  <c r="L320" i="7"/>
  <c r="Q319" i="7"/>
  <c r="O319" i="7"/>
  <c r="P319" i="7" s="1"/>
  <c r="N319" i="7"/>
  <c r="M319" i="7"/>
  <c r="L319" i="7"/>
  <c r="Q318" i="7"/>
  <c r="O318" i="7"/>
  <c r="P318" i="7" s="1"/>
  <c r="N318" i="7"/>
  <c r="M318" i="7"/>
  <c r="L318" i="7"/>
  <c r="Q317" i="7"/>
  <c r="O317" i="7"/>
  <c r="P317" i="7" s="1"/>
  <c r="N317" i="7"/>
  <c r="M317" i="7"/>
  <c r="L317" i="7"/>
  <c r="Q316" i="7"/>
  <c r="O316" i="7"/>
  <c r="P316" i="7" s="1"/>
  <c r="N316" i="7"/>
  <c r="M316" i="7"/>
  <c r="L316" i="7"/>
  <c r="Q315" i="7"/>
  <c r="O315" i="7"/>
  <c r="P315" i="7" s="1"/>
  <c r="N315" i="7"/>
  <c r="M315" i="7"/>
  <c r="L315" i="7"/>
  <c r="Q314" i="7"/>
  <c r="O314" i="7"/>
  <c r="P314" i="7" s="1"/>
  <c r="N314" i="7"/>
  <c r="M314" i="7"/>
  <c r="L314" i="7"/>
  <c r="Q313" i="7"/>
  <c r="O313" i="7"/>
  <c r="P313" i="7" s="1"/>
  <c r="N313" i="7"/>
  <c r="M313" i="7"/>
  <c r="L313" i="7"/>
  <c r="Q312" i="7"/>
  <c r="O312" i="7"/>
  <c r="P312" i="7" s="1"/>
  <c r="N312" i="7"/>
  <c r="M312" i="7"/>
  <c r="L312" i="7"/>
  <c r="Q311" i="7"/>
  <c r="O311" i="7"/>
  <c r="P311" i="7" s="1"/>
  <c r="N311" i="7"/>
  <c r="M311" i="7"/>
  <c r="L311" i="7"/>
  <c r="Q310" i="7"/>
  <c r="O310" i="7"/>
  <c r="P310" i="7" s="1"/>
  <c r="N310" i="7"/>
  <c r="M310" i="7"/>
  <c r="L310" i="7"/>
  <c r="Q309" i="7"/>
  <c r="O309" i="7"/>
  <c r="P309" i="7" s="1"/>
  <c r="N309" i="7"/>
  <c r="M309" i="7"/>
  <c r="L309" i="7"/>
  <c r="Q308" i="7"/>
  <c r="O308" i="7"/>
  <c r="P308" i="7" s="1"/>
  <c r="N308" i="7"/>
  <c r="M308" i="7"/>
  <c r="L308" i="7"/>
  <c r="Q307" i="7"/>
  <c r="O307" i="7"/>
  <c r="P307" i="7" s="1"/>
  <c r="N307" i="7"/>
  <c r="M307" i="7"/>
  <c r="L307" i="7"/>
  <c r="Q306" i="7"/>
  <c r="O306" i="7"/>
  <c r="P306" i="7" s="1"/>
  <c r="N306" i="7"/>
  <c r="M306" i="7"/>
  <c r="L306" i="7"/>
  <c r="Q305" i="7"/>
  <c r="O305" i="7"/>
  <c r="P305" i="7" s="1"/>
  <c r="N305" i="7"/>
  <c r="M305" i="7"/>
  <c r="L305" i="7"/>
  <c r="Q304" i="7"/>
  <c r="O304" i="7"/>
  <c r="P304" i="7" s="1"/>
  <c r="N304" i="7"/>
  <c r="M304" i="7"/>
  <c r="L304" i="7"/>
  <c r="Q303" i="7"/>
  <c r="O303" i="7"/>
  <c r="P303" i="7" s="1"/>
  <c r="N303" i="7"/>
  <c r="M303" i="7"/>
  <c r="L303" i="7"/>
  <c r="Q302" i="7"/>
  <c r="O302" i="7"/>
  <c r="P302" i="7" s="1"/>
  <c r="N302" i="7"/>
  <c r="M302" i="7"/>
  <c r="L302" i="7"/>
  <c r="Q301" i="7"/>
  <c r="O301" i="7"/>
  <c r="P301" i="7" s="1"/>
  <c r="N301" i="7"/>
  <c r="M301" i="7"/>
  <c r="L301" i="7"/>
  <c r="Q300" i="7"/>
  <c r="O300" i="7"/>
  <c r="P300" i="7" s="1"/>
  <c r="N300" i="7"/>
  <c r="M300" i="7"/>
  <c r="L300" i="7"/>
  <c r="Q299" i="7"/>
  <c r="O299" i="7"/>
  <c r="P299" i="7" s="1"/>
  <c r="N299" i="7"/>
  <c r="M299" i="7"/>
  <c r="L299" i="7"/>
  <c r="Q298" i="7"/>
  <c r="O298" i="7"/>
  <c r="P298" i="7" s="1"/>
  <c r="N298" i="7"/>
  <c r="M298" i="7"/>
  <c r="L298" i="7"/>
  <c r="Q297" i="7"/>
  <c r="O297" i="7"/>
  <c r="P297" i="7" s="1"/>
  <c r="N297" i="7"/>
  <c r="M297" i="7"/>
  <c r="L297" i="7"/>
  <c r="Q296" i="7"/>
  <c r="O296" i="7"/>
  <c r="P296" i="7" s="1"/>
  <c r="N296" i="7"/>
  <c r="M296" i="7"/>
  <c r="L296" i="7"/>
  <c r="Q295" i="7"/>
  <c r="O295" i="7"/>
  <c r="P295" i="7" s="1"/>
  <c r="N295" i="7"/>
  <c r="M295" i="7"/>
  <c r="L295" i="7"/>
  <c r="Q294" i="7"/>
  <c r="O294" i="7"/>
  <c r="P294" i="7" s="1"/>
  <c r="N294" i="7"/>
  <c r="M294" i="7"/>
  <c r="L294" i="7"/>
  <c r="Q293" i="7"/>
  <c r="O293" i="7"/>
  <c r="P293" i="7" s="1"/>
  <c r="N293" i="7"/>
  <c r="M293" i="7"/>
  <c r="L293" i="7"/>
  <c r="Q292" i="7"/>
  <c r="O292" i="7"/>
  <c r="P292" i="7" s="1"/>
  <c r="N292" i="7"/>
  <c r="M292" i="7"/>
  <c r="L292" i="7"/>
  <c r="Q291" i="7"/>
  <c r="O291" i="7"/>
  <c r="P291" i="7" s="1"/>
  <c r="N291" i="7"/>
  <c r="M291" i="7"/>
  <c r="L291" i="7"/>
  <c r="Q290" i="7"/>
  <c r="O290" i="7"/>
  <c r="P290" i="7" s="1"/>
  <c r="N290" i="7"/>
  <c r="M290" i="7"/>
  <c r="L290" i="7"/>
  <c r="Q289" i="7"/>
  <c r="O289" i="7"/>
  <c r="P289" i="7" s="1"/>
  <c r="N289" i="7"/>
  <c r="M289" i="7"/>
  <c r="L289" i="7"/>
  <c r="Q288" i="7"/>
  <c r="O288" i="7"/>
  <c r="P288" i="7" s="1"/>
  <c r="N288" i="7"/>
  <c r="M288" i="7"/>
  <c r="L288" i="7"/>
  <c r="Q287" i="7"/>
  <c r="O287" i="7"/>
  <c r="P287" i="7" s="1"/>
  <c r="N287" i="7"/>
  <c r="M287" i="7"/>
  <c r="L287" i="7"/>
  <c r="Q286" i="7"/>
  <c r="O286" i="7"/>
  <c r="P286" i="7" s="1"/>
  <c r="N286" i="7"/>
  <c r="M286" i="7"/>
  <c r="L286" i="7"/>
  <c r="Q285" i="7"/>
  <c r="O285" i="7"/>
  <c r="P285" i="7" s="1"/>
  <c r="N285" i="7"/>
  <c r="M285" i="7"/>
  <c r="L285" i="7"/>
  <c r="Q284" i="7"/>
  <c r="O284" i="7"/>
  <c r="P284" i="7" s="1"/>
  <c r="N284" i="7"/>
  <c r="M284" i="7"/>
  <c r="L284" i="7"/>
  <c r="Q283" i="7"/>
  <c r="O283" i="7"/>
  <c r="P283" i="7" s="1"/>
  <c r="N283" i="7"/>
  <c r="M283" i="7"/>
  <c r="L283" i="7"/>
  <c r="Q282" i="7"/>
  <c r="O282" i="7"/>
  <c r="P282" i="7" s="1"/>
  <c r="N282" i="7"/>
  <c r="M282" i="7"/>
  <c r="L282" i="7"/>
  <c r="Q281" i="7"/>
  <c r="O281" i="7"/>
  <c r="P281" i="7" s="1"/>
  <c r="N281" i="7"/>
  <c r="M281" i="7"/>
  <c r="L281" i="7"/>
  <c r="Q280" i="7"/>
  <c r="O280" i="7"/>
  <c r="P280" i="7" s="1"/>
  <c r="N280" i="7"/>
  <c r="M280" i="7"/>
  <c r="L280" i="7"/>
  <c r="Q279" i="7"/>
  <c r="O279" i="7"/>
  <c r="P279" i="7" s="1"/>
  <c r="N279" i="7"/>
  <c r="M279" i="7"/>
  <c r="L279" i="7"/>
  <c r="Q278" i="7"/>
  <c r="O278" i="7"/>
  <c r="P278" i="7" s="1"/>
  <c r="N278" i="7"/>
  <c r="M278" i="7"/>
  <c r="L278" i="7"/>
  <c r="Q277" i="7"/>
  <c r="O277" i="7"/>
  <c r="P277" i="7" s="1"/>
  <c r="N277" i="7"/>
  <c r="M277" i="7"/>
  <c r="L277" i="7"/>
  <c r="Q276" i="7"/>
  <c r="O276" i="7"/>
  <c r="P276" i="7" s="1"/>
  <c r="N276" i="7"/>
  <c r="M276" i="7"/>
  <c r="L276" i="7"/>
  <c r="Q275" i="7"/>
  <c r="O275" i="7"/>
  <c r="P275" i="7" s="1"/>
  <c r="N275" i="7"/>
  <c r="M275" i="7"/>
  <c r="L275" i="7"/>
  <c r="Q274" i="7"/>
  <c r="O274" i="7"/>
  <c r="P274" i="7" s="1"/>
  <c r="N274" i="7"/>
  <c r="M274" i="7"/>
  <c r="L274" i="7"/>
  <c r="Q273" i="7"/>
  <c r="O273" i="7"/>
  <c r="P273" i="7" s="1"/>
  <c r="N273" i="7"/>
  <c r="M273" i="7"/>
  <c r="L273" i="7"/>
  <c r="Q272" i="7"/>
  <c r="O272" i="7"/>
  <c r="P272" i="7" s="1"/>
  <c r="N272" i="7"/>
  <c r="M272" i="7"/>
  <c r="L272" i="7"/>
  <c r="Q271" i="7"/>
  <c r="O271" i="7"/>
  <c r="P271" i="7" s="1"/>
  <c r="N271" i="7"/>
  <c r="M271" i="7"/>
  <c r="L271" i="7"/>
  <c r="Q270" i="7"/>
  <c r="O270" i="7"/>
  <c r="P270" i="7" s="1"/>
  <c r="N270" i="7"/>
  <c r="M270" i="7"/>
  <c r="L270" i="7"/>
  <c r="Q269" i="7"/>
  <c r="O269" i="7"/>
  <c r="P269" i="7" s="1"/>
  <c r="N269" i="7"/>
  <c r="M269" i="7"/>
  <c r="L269" i="7"/>
  <c r="Q268" i="7"/>
  <c r="O268" i="7"/>
  <c r="P268" i="7" s="1"/>
  <c r="N268" i="7"/>
  <c r="M268" i="7"/>
  <c r="L268" i="7"/>
  <c r="Q267" i="7"/>
  <c r="O267" i="7"/>
  <c r="P267" i="7" s="1"/>
  <c r="N267" i="7"/>
  <c r="M267" i="7"/>
  <c r="L267" i="7"/>
  <c r="Q266" i="7"/>
  <c r="O266" i="7"/>
  <c r="P266" i="7" s="1"/>
  <c r="N266" i="7"/>
  <c r="M266" i="7"/>
  <c r="L266" i="7"/>
  <c r="Q265" i="7"/>
  <c r="O265" i="7"/>
  <c r="P265" i="7" s="1"/>
  <c r="N265" i="7"/>
  <c r="M265" i="7"/>
  <c r="L265" i="7"/>
  <c r="Q264" i="7"/>
  <c r="O264" i="7"/>
  <c r="P264" i="7" s="1"/>
  <c r="N264" i="7"/>
  <c r="M264" i="7"/>
  <c r="L264" i="7"/>
  <c r="Q263" i="7"/>
  <c r="O263" i="7"/>
  <c r="P263" i="7" s="1"/>
  <c r="N263" i="7"/>
  <c r="M263" i="7"/>
  <c r="L263" i="7"/>
  <c r="Q262" i="7"/>
  <c r="O262" i="7"/>
  <c r="P262" i="7" s="1"/>
  <c r="N262" i="7"/>
  <c r="M262" i="7"/>
  <c r="L262" i="7"/>
  <c r="Q261" i="7"/>
  <c r="O261" i="7"/>
  <c r="P261" i="7" s="1"/>
  <c r="N261" i="7"/>
  <c r="M261" i="7"/>
  <c r="L261" i="7"/>
  <c r="Q260" i="7"/>
  <c r="O260" i="7"/>
  <c r="P260" i="7" s="1"/>
  <c r="N260" i="7"/>
  <c r="M260" i="7"/>
  <c r="L260" i="7"/>
  <c r="Q259" i="7"/>
  <c r="O259" i="7"/>
  <c r="P259" i="7" s="1"/>
  <c r="N259" i="7"/>
  <c r="M259" i="7"/>
  <c r="L259" i="7"/>
  <c r="Q258" i="7"/>
  <c r="O258" i="7"/>
  <c r="P258" i="7" s="1"/>
  <c r="N258" i="7"/>
  <c r="M258" i="7"/>
  <c r="L258" i="7"/>
  <c r="Q257" i="7"/>
  <c r="O257" i="7"/>
  <c r="P257" i="7" s="1"/>
  <c r="N257" i="7"/>
  <c r="M257" i="7"/>
  <c r="L257" i="7"/>
  <c r="Q256" i="7"/>
  <c r="O256" i="7"/>
  <c r="P256" i="7" s="1"/>
  <c r="N256" i="7"/>
  <c r="M256" i="7"/>
  <c r="L256" i="7"/>
  <c r="Q255" i="7"/>
  <c r="O255" i="7"/>
  <c r="P255" i="7" s="1"/>
  <c r="N255" i="7"/>
  <c r="M255" i="7"/>
  <c r="L255" i="7"/>
  <c r="Q254" i="7"/>
  <c r="O254" i="7"/>
  <c r="P254" i="7" s="1"/>
  <c r="N254" i="7"/>
  <c r="M254" i="7"/>
  <c r="L254" i="7"/>
  <c r="Q253" i="7"/>
  <c r="O253" i="7"/>
  <c r="P253" i="7" s="1"/>
  <c r="N253" i="7"/>
  <c r="M253" i="7"/>
  <c r="L253" i="7"/>
  <c r="Q252" i="7"/>
  <c r="O252" i="7"/>
  <c r="P252" i="7" s="1"/>
  <c r="N252" i="7"/>
  <c r="M252" i="7"/>
  <c r="L252" i="7"/>
  <c r="Q251" i="7"/>
  <c r="O251" i="7"/>
  <c r="P251" i="7" s="1"/>
  <c r="N251" i="7"/>
  <c r="M251" i="7"/>
  <c r="L251" i="7"/>
  <c r="Q250" i="7"/>
  <c r="O250" i="7"/>
  <c r="P250" i="7" s="1"/>
  <c r="N250" i="7"/>
  <c r="M250" i="7"/>
  <c r="L250" i="7"/>
  <c r="Q249" i="7"/>
  <c r="O249" i="7"/>
  <c r="P249" i="7" s="1"/>
  <c r="N249" i="7"/>
  <c r="M249" i="7"/>
  <c r="L249" i="7"/>
  <c r="Q248" i="7"/>
  <c r="O248" i="7"/>
  <c r="P248" i="7" s="1"/>
  <c r="N248" i="7"/>
  <c r="M248" i="7"/>
  <c r="L248" i="7"/>
  <c r="Q247" i="7"/>
  <c r="O247" i="7"/>
  <c r="P247" i="7" s="1"/>
  <c r="N247" i="7"/>
  <c r="M247" i="7"/>
  <c r="L247" i="7"/>
  <c r="Q246" i="7"/>
  <c r="O246" i="7"/>
  <c r="P246" i="7" s="1"/>
  <c r="N246" i="7"/>
  <c r="M246" i="7"/>
  <c r="L246" i="7"/>
  <c r="Q245" i="7"/>
  <c r="O245" i="7"/>
  <c r="P245" i="7" s="1"/>
  <c r="N245" i="7"/>
  <c r="M245" i="7"/>
  <c r="L245" i="7"/>
  <c r="Q244" i="7"/>
  <c r="O244" i="7"/>
  <c r="P244" i="7" s="1"/>
  <c r="N244" i="7"/>
  <c r="M244" i="7"/>
  <c r="L244" i="7"/>
  <c r="Q243" i="7"/>
  <c r="O243" i="7"/>
  <c r="P243" i="7" s="1"/>
  <c r="N243" i="7"/>
  <c r="M243" i="7"/>
  <c r="L243" i="7"/>
  <c r="Q242" i="7"/>
  <c r="O242" i="7"/>
  <c r="P242" i="7" s="1"/>
  <c r="N242" i="7"/>
  <c r="M242" i="7"/>
  <c r="L242" i="7"/>
  <c r="Q241" i="7"/>
  <c r="O241" i="7"/>
  <c r="P241" i="7" s="1"/>
  <c r="N241" i="7"/>
  <c r="M241" i="7"/>
  <c r="L241" i="7"/>
  <c r="Q240" i="7"/>
  <c r="O240" i="7"/>
  <c r="P240" i="7" s="1"/>
  <c r="N240" i="7"/>
  <c r="M240" i="7"/>
  <c r="L240" i="7"/>
  <c r="Q239" i="7"/>
  <c r="O239" i="7"/>
  <c r="P239" i="7" s="1"/>
  <c r="N239" i="7"/>
  <c r="M239" i="7"/>
  <c r="L239" i="7"/>
  <c r="Q238" i="7"/>
  <c r="O238" i="7"/>
  <c r="P238" i="7" s="1"/>
  <c r="N238" i="7"/>
  <c r="M238" i="7"/>
  <c r="L238" i="7"/>
  <c r="Q237" i="7"/>
  <c r="O237" i="7"/>
  <c r="P237" i="7" s="1"/>
  <c r="N237" i="7"/>
  <c r="M237" i="7"/>
  <c r="L237" i="7"/>
  <c r="Q236" i="7"/>
  <c r="O236" i="7"/>
  <c r="P236" i="7" s="1"/>
  <c r="N236" i="7"/>
  <c r="M236" i="7"/>
  <c r="L236" i="7"/>
  <c r="Q235" i="7"/>
  <c r="O235" i="7"/>
  <c r="P235" i="7" s="1"/>
  <c r="N235" i="7"/>
  <c r="M235" i="7"/>
  <c r="L235" i="7"/>
  <c r="Q234" i="7"/>
  <c r="O234" i="7"/>
  <c r="P234" i="7" s="1"/>
  <c r="N234" i="7"/>
  <c r="M234" i="7"/>
  <c r="L234" i="7"/>
  <c r="Q233" i="7"/>
  <c r="O233" i="7"/>
  <c r="P233" i="7" s="1"/>
  <c r="N233" i="7"/>
  <c r="M233" i="7"/>
  <c r="L233" i="7"/>
  <c r="Q232" i="7"/>
  <c r="O232" i="7"/>
  <c r="P232" i="7" s="1"/>
  <c r="N232" i="7"/>
  <c r="M232" i="7"/>
  <c r="L232" i="7"/>
  <c r="Q231" i="7"/>
  <c r="O231" i="7"/>
  <c r="P231" i="7" s="1"/>
  <c r="N231" i="7"/>
  <c r="M231" i="7"/>
  <c r="L231" i="7"/>
  <c r="Q230" i="7"/>
  <c r="O230" i="7"/>
  <c r="P230" i="7" s="1"/>
  <c r="N230" i="7"/>
  <c r="M230" i="7"/>
  <c r="L230" i="7"/>
  <c r="Q229" i="7"/>
  <c r="O229" i="7"/>
  <c r="P229" i="7" s="1"/>
  <c r="N229" i="7"/>
  <c r="M229" i="7"/>
  <c r="L229" i="7"/>
  <c r="Q228" i="7"/>
  <c r="O228" i="7"/>
  <c r="P228" i="7" s="1"/>
  <c r="N228" i="7"/>
  <c r="M228" i="7"/>
  <c r="L228" i="7"/>
  <c r="Q227" i="7"/>
  <c r="O227" i="7"/>
  <c r="P227" i="7" s="1"/>
  <c r="N227" i="7"/>
  <c r="M227" i="7"/>
  <c r="L227" i="7"/>
  <c r="Q226" i="7"/>
  <c r="O226" i="7"/>
  <c r="P226" i="7" s="1"/>
  <c r="N226" i="7"/>
  <c r="M226" i="7"/>
  <c r="L226" i="7"/>
  <c r="Q225" i="7"/>
  <c r="O225" i="7"/>
  <c r="P225" i="7" s="1"/>
  <c r="N225" i="7"/>
  <c r="M225" i="7"/>
  <c r="L225" i="7"/>
  <c r="Q224" i="7"/>
  <c r="O224" i="7"/>
  <c r="P224" i="7" s="1"/>
  <c r="N224" i="7"/>
  <c r="M224" i="7"/>
  <c r="L224" i="7"/>
  <c r="Q223" i="7"/>
  <c r="O223" i="7"/>
  <c r="P223" i="7" s="1"/>
  <c r="N223" i="7"/>
  <c r="M223" i="7"/>
  <c r="L223" i="7"/>
  <c r="Q222" i="7"/>
  <c r="O222" i="7"/>
  <c r="P222" i="7" s="1"/>
  <c r="N222" i="7"/>
  <c r="M222" i="7"/>
  <c r="L222" i="7"/>
  <c r="Q221" i="7"/>
  <c r="O221" i="7"/>
  <c r="P221" i="7" s="1"/>
  <c r="N221" i="7"/>
  <c r="M221" i="7"/>
  <c r="L221" i="7"/>
  <c r="Q220" i="7"/>
  <c r="O220" i="7"/>
  <c r="P220" i="7" s="1"/>
  <c r="N220" i="7"/>
  <c r="M220" i="7"/>
  <c r="L220" i="7"/>
  <c r="Q219" i="7"/>
  <c r="O219" i="7"/>
  <c r="P219" i="7" s="1"/>
  <c r="N219" i="7"/>
  <c r="M219" i="7"/>
  <c r="L219" i="7"/>
  <c r="Q218" i="7"/>
  <c r="O218" i="7"/>
  <c r="P218" i="7" s="1"/>
  <c r="N218" i="7"/>
  <c r="M218" i="7"/>
  <c r="L218" i="7"/>
  <c r="Q217" i="7"/>
  <c r="O217" i="7"/>
  <c r="P217" i="7" s="1"/>
  <c r="N217" i="7"/>
  <c r="M217" i="7"/>
  <c r="L217" i="7"/>
  <c r="Q216" i="7"/>
  <c r="O216" i="7"/>
  <c r="P216" i="7" s="1"/>
  <c r="N216" i="7"/>
  <c r="M216" i="7"/>
  <c r="L216" i="7"/>
  <c r="Q215" i="7"/>
  <c r="O215" i="7"/>
  <c r="P215" i="7" s="1"/>
  <c r="N215" i="7"/>
  <c r="M215" i="7"/>
  <c r="L215" i="7"/>
  <c r="Q214" i="7"/>
  <c r="O214" i="7"/>
  <c r="P214" i="7" s="1"/>
  <c r="N214" i="7"/>
  <c r="M214" i="7"/>
  <c r="L214" i="7"/>
  <c r="Q213" i="7"/>
  <c r="O213" i="7"/>
  <c r="P213" i="7" s="1"/>
  <c r="N213" i="7"/>
  <c r="M213" i="7"/>
  <c r="L213" i="7"/>
  <c r="Q212" i="7"/>
  <c r="O212" i="7"/>
  <c r="P212" i="7" s="1"/>
  <c r="N212" i="7"/>
  <c r="M212" i="7"/>
  <c r="L212" i="7"/>
  <c r="Q211" i="7"/>
  <c r="O211" i="7"/>
  <c r="P211" i="7" s="1"/>
  <c r="N211" i="7"/>
  <c r="M211" i="7"/>
  <c r="L211" i="7"/>
  <c r="Q210" i="7"/>
  <c r="O210" i="7"/>
  <c r="P210" i="7" s="1"/>
  <c r="N210" i="7"/>
  <c r="M210" i="7"/>
  <c r="L210" i="7"/>
  <c r="Q209" i="7"/>
  <c r="O209" i="7"/>
  <c r="P209" i="7" s="1"/>
  <c r="N209" i="7"/>
  <c r="M209" i="7"/>
  <c r="L209" i="7"/>
  <c r="Q208" i="7"/>
  <c r="O208" i="7"/>
  <c r="P208" i="7" s="1"/>
  <c r="N208" i="7"/>
  <c r="M208" i="7"/>
  <c r="L208" i="7"/>
  <c r="Q207" i="7"/>
  <c r="O207" i="7"/>
  <c r="P207" i="7" s="1"/>
  <c r="N207" i="7"/>
  <c r="M207" i="7"/>
  <c r="L207" i="7"/>
  <c r="Q206" i="7"/>
  <c r="O206" i="7"/>
  <c r="P206" i="7" s="1"/>
  <c r="N206" i="7"/>
  <c r="M206" i="7"/>
  <c r="L206" i="7"/>
  <c r="Q205" i="7"/>
  <c r="O205" i="7"/>
  <c r="P205" i="7" s="1"/>
  <c r="N205" i="7"/>
  <c r="M205" i="7"/>
  <c r="L205" i="7"/>
  <c r="Q204" i="7"/>
  <c r="O204" i="7"/>
  <c r="P204" i="7" s="1"/>
  <c r="N204" i="7"/>
  <c r="M204" i="7"/>
  <c r="L204" i="7"/>
  <c r="Q203" i="7"/>
  <c r="O203" i="7"/>
  <c r="P203" i="7" s="1"/>
  <c r="N203" i="7"/>
  <c r="M203" i="7"/>
  <c r="L203" i="7"/>
  <c r="Q202" i="7"/>
  <c r="O202" i="7"/>
  <c r="P202" i="7" s="1"/>
  <c r="N202" i="7"/>
  <c r="M202" i="7"/>
  <c r="L202" i="7"/>
  <c r="Q201" i="7"/>
  <c r="O201" i="7"/>
  <c r="P201" i="7" s="1"/>
  <c r="N201" i="7"/>
  <c r="M201" i="7"/>
  <c r="L201" i="7"/>
  <c r="Q200" i="7"/>
  <c r="O200" i="7"/>
  <c r="P200" i="7" s="1"/>
  <c r="N200" i="7"/>
  <c r="M200" i="7"/>
  <c r="L200" i="7"/>
  <c r="Q199" i="7"/>
  <c r="O199" i="7"/>
  <c r="P199" i="7" s="1"/>
  <c r="N199" i="7"/>
  <c r="M199" i="7"/>
  <c r="L199" i="7"/>
  <c r="Q198" i="7"/>
  <c r="O198" i="7"/>
  <c r="P198" i="7" s="1"/>
  <c r="N198" i="7"/>
  <c r="M198" i="7"/>
  <c r="L198" i="7"/>
  <c r="Q197" i="7"/>
  <c r="O197" i="7"/>
  <c r="P197" i="7" s="1"/>
  <c r="N197" i="7"/>
  <c r="M197" i="7"/>
  <c r="L197" i="7"/>
  <c r="Q196" i="7"/>
  <c r="O196" i="7"/>
  <c r="P196" i="7" s="1"/>
  <c r="N196" i="7"/>
  <c r="M196" i="7"/>
  <c r="L196" i="7"/>
  <c r="Q195" i="7"/>
  <c r="O195" i="7"/>
  <c r="P195" i="7" s="1"/>
  <c r="N195" i="7"/>
  <c r="M195" i="7"/>
  <c r="L195" i="7"/>
  <c r="Q194" i="7"/>
  <c r="O194" i="7"/>
  <c r="P194" i="7" s="1"/>
  <c r="N194" i="7"/>
  <c r="M194" i="7"/>
  <c r="L194" i="7"/>
  <c r="Q193" i="7"/>
  <c r="O193" i="7"/>
  <c r="P193" i="7" s="1"/>
  <c r="N193" i="7"/>
  <c r="M193" i="7"/>
  <c r="L193" i="7"/>
  <c r="Q192" i="7"/>
  <c r="O192" i="7"/>
  <c r="P192" i="7" s="1"/>
  <c r="N192" i="7"/>
  <c r="M192" i="7"/>
  <c r="L192" i="7"/>
  <c r="Q191" i="7"/>
  <c r="O191" i="7"/>
  <c r="P191" i="7" s="1"/>
  <c r="N191" i="7"/>
  <c r="M191" i="7"/>
  <c r="L191" i="7"/>
  <c r="Q190" i="7"/>
  <c r="O190" i="7"/>
  <c r="P190" i="7" s="1"/>
  <c r="N190" i="7"/>
  <c r="M190" i="7"/>
  <c r="L190" i="7"/>
  <c r="Q189" i="7"/>
  <c r="O189" i="7"/>
  <c r="P189" i="7" s="1"/>
  <c r="N189" i="7"/>
  <c r="M189" i="7"/>
  <c r="L189" i="7"/>
  <c r="Q188" i="7"/>
  <c r="O188" i="7"/>
  <c r="P188" i="7" s="1"/>
  <c r="N188" i="7"/>
  <c r="M188" i="7"/>
  <c r="L188" i="7"/>
  <c r="Q187" i="7"/>
  <c r="O187" i="7"/>
  <c r="P187" i="7" s="1"/>
  <c r="N187" i="7"/>
  <c r="M187" i="7"/>
  <c r="L187" i="7"/>
  <c r="Q186" i="7"/>
  <c r="O186" i="7"/>
  <c r="P186" i="7" s="1"/>
  <c r="N186" i="7"/>
  <c r="M186" i="7"/>
  <c r="L186" i="7"/>
  <c r="Q185" i="7"/>
  <c r="O185" i="7"/>
  <c r="P185" i="7" s="1"/>
  <c r="N185" i="7"/>
  <c r="M185" i="7"/>
  <c r="L185" i="7"/>
  <c r="Q184" i="7"/>
  <c r="O184" i="7"/>
  <c r="P184" i="7" s="1"/>
  <c r="N184" i="7"/>
  <c r="M184" i="7"/>
  <c r="L184" i="7"/>
  <c r="Q183" i="7"/>
  <c r="O183" i="7"/>
  <c r="P183" i="7" s="1"/>
  <c r="N183" i="7"/>
  <c r="M183" i="7"/>
  <c r="L183" i="7"/>
  <c r="Q182" i="7"/>
  <c r="O182" i="7"/>
  <c r="P182" i="7" s="1"/>
  <c r="N182" i="7"/>
  <c r="M182" i="7"/>
  <c r="L182" i="7"/>
  <c r="Q181" i="7"/>
  <c r="O181" i="7"/>
  <c r="P181" i="7" s="1"/>
  <c r="N181" i="7"/>
  <c r="M181" i="7"/>
  <c r="L181" i="7"/>
  <c r="Q180" i="7"/>
  <c r="O180" i="7"/>
  <c r="P180" i="7" s="1"/>
  <c r="N180" i="7"/>
  <c r="M180" i="7"/>
  <c r="L180" i="7"/>
  <c r="Q179" i="7"/>
  <c r="O179" i="7"/>
  <c r="P179" i="7" s="1"/>
  <c r="N179" i="7"/>
  <c r="M179" i="7"/>
  <c r="L179" i="7"/>
  <c r="Q178" i="7"/>
  <c r="O178" i="7"/>
  <c r="P178" i="7" s="1"/>
  <c r="N178" i="7"/>
  <c r="M178" i="7"/>
  <c r="L178" i="7"/>
  <c r="Q177" i="7"/>
  <c r="O177" i="7"/>
  <c r="P177" i="7" s="1"/>
  <c r="N177" i="7"/>
  <c r="M177" i="7"/>
  <c r="L177" i="7"/>
  <c r="Q176" i="7"/>
  <c r="O176" i="7"/>
  <c r="P176" i="7" s="1"/>
  <c r="N176" i="7"/>
  <c r="M176" i="7"/>
  <c r="L176" i="7"/>
  <c r="Q175" i="7"/>
  <c r="O175" i="7"/>
  <c r="P175" i="7" s="1"/>
  <c r="N175" i="7"/>
  <c r="M175" i="7"/>
  <c r="L175" i="7"/>
  <c r="Q174" i="7"/>
  <c r="O174" i="7"/>
  <c r="P174" i="7" s="1"/>
  <c r="N174" i="7"/>
  <c r="M174" i="7"/>
  <c r="L174" i="7"/>
  <c r="Q173" i="7"/>
  <c r="O173" i="7"/>
  <c r="P173" i="7" s="1"/>
  <c r="N173" i="7"/>
  <c r="M173" i="7"/>
  <c r="L173" i="7"/>
  <c r="Q172" i="7"/>
  <c r="O172" i="7"/>
  <c r="P172" i="7" s="1"/>
  <c r="N172" i="7"/>
  <c r="M172" i="7"/>
  <c r="L172" i="7"/>
  <c r="Q171" i="7"/>
  <c r="O171" i="7"/>
  <c r="P171" i="7" s="1"/>
  <c r="N171" i="7"/>
  <c r="M171" i="7"/>
  <c r="L171" i="7"/>
  <c r="Q170" i="7"/>
  <c r="O170" i="7"/>
  <c r="P170" i="7" s="1"/>
  <c r="N170" i="7"/>
  <c r="M170" i="7"/>
  <c r="L170" i="7"/>
  <c r="Q169" i="7"/>
  <c r="O169" i="7"/>
  <c r="P169" i="7" s="1"/>
  <c r="N169" i="7"/>
  <c r="M169" i="7"/>
  <c r="L169" i="7"/>
  <c r="Q168" i="7"/>
  <c r="O168" i="7"/>
  <c r="P168" i="7" s="1"/>
  <c r="N168" i="7"/>
  <c r="M168" i="7"/>
  <c r="L168" i="7"/>
  <c r="Q167" i="7"/>
  <c r="O167" i="7"/>
  <c r="P167" i="7" s="1"/>
  <c r="N167" i="7"/>
  <c r="M167" i="7"/>
  <c r="L167" i="7"/>
  <c r="Q166" i="7"/>
  <c r="O166" i="7"/>
  <c r="P166" i="7" s="1"/>
  <c r="N166" i="7"/>
  <c r="M166" i="7"/>
  <c r="L166" i="7"/>
  <c r="Q165" i="7"/>
  <c r="O165" i="7"/>
  <c r="P165" i="7" s="1"/>
  <c r="N165" i="7"/>
  <c r="M165" i="7"/>
  <c r="L165" i="7"/>
  <c r="Q164" i="7"/>
  <c r="O164" i="7"/>
  <c r="P164" i="7" s="1"/>
  <c r="N164" i="7"/>
  <c r="M164" i="7"/>
  <c r="L164" i="7"/>
  <c r="Q163" i="7"/>
  <c r="O163" i="7"/>
  <c r="P163" i="7" s="1"/>
  <c r="N163" i="7"/>
  <c r="M163" i="7"/>
  <c r="L163" i="7"/>
  <c r="Q162" i="7"/>
  <c r="O162" i="7"/>
  <c r="P162" i="7" s="1"/>
  <c r="N162" i="7"/>
  <c r="M162" i="7"/>
  <c r="L162" i="7"/>
  <c r="Q161" i="7"/>
  <c r="O161" i="7"/>
  <c r="P161" i="7" s="1"/>
  <c r="N161" i="7"/>
  <c r="M161" i="7"/>
  <c r="L161" i="7"/>
  <c r="Q160" i="7"/>
  <c r="O160" i="7"/>
  <c r="P160" i="7" s="1"/>
  <c r="N160" i="7"/>
  <c r="M160" i="7"/>
  <c r="L160" i="7"/>
  <c r="Q159" i="7"/>
  <c r="O159" i="7"/>
  <c r="P159" i="7" s="1"/>
  <c r="N159" i="7"/>
  <c r="M159" i="7"/>
  <c r="L159" i="7"/>
  <c r="Q158" i="7"/>
  <c r="O158" i="7"/>
  <c r="P158" i="7" s="1"/>
  <c r="N158" i="7"/>
  <c r="M158" i="7"/>
  <c r="L158" i="7"/>
  <c r="Q157" i="7"/>
  <c r="O157" i="7"/>
  <c r="P157" i="7" s="1"/>
  <c r="N157" i="7"/>
  <c r="M157" i="7"/>
  <c r="L157" i="7"/>
  <c r="Q156" i="7"/>
  <c r="O156" i="7"/>
  <c r="P156" i="7" s="1"/>
  <c r="N156" i="7"/>
  <c r="M156" i="7"/>
  <c r="L156" i="7"/>
  <c r="Q155" i="7"/>
  <c r="O155" i="7"/>
  <c r="P155" i="7" s="1"/>
  <c r="N155" i="7"/>
  <c r="M155" i="7"/>
  <c r="L155" i="7"/>
  <c r="Q154" i="7"/>
  <c r="O154" i="7"/>
  <c r="P154" i="7" s="1"/>
  <c r="N154" i="7"/>
  <c r="M154" i="7"/>
  <c r="L154" i="7"/>
  <c r="Q153" i="7"/>
  <c r="O153" i="7"/>
  <c r="P153" i="7" s="1"/>
  <c r="N153" i="7"/>
  <c r="M153" i="7"/>
  <c r="L153" i="7"/>
  <c r="Q152" i="7"/>
  <c r="O152" i="7"/>
  <c r="P152" i="7" s="1"/>
  <c r="N152" i="7"/>
  <c r="M152" i="7"/>
  <c r="L152" i="7"/>
  <c r="Q151" i="7"/>
  <c r="O151" i="7"/>
  <c r="P151" i="7" s="1"/>
  <c r="N151" i="7"/>
  <c r="M151" i="7"/>
  <c r="L151" i="7"/>
  <c r="Q150" i="7"/>
  <c r="O150" i="7"/>
  <c r="P150" i="7" s="1"/>
  <c r="N150" i="7"/>
  <c r="M150" i="7"/>
  <c r="L150" i="7"/>
  <c r="Q149" i="7"/>
  <c r="O149" i="7"/>
  <c r="P149" i="7" s="1"/>
  <c r="N149" i="7"/>
  <c r="M149" i="7"/>
  <c r="L149" i="7"/>
  <c r="Q148" i="7"/>
  <c r="O148" i="7"/>
  <c r="P148" i="7" s="1"/>
  <c r="N148" i="7"/>
  <c r="M148" i="7"/>
  <c r="L148" i="7"/>
  <c r="Q147" i="7"/>
  <c r="O147" i="7"/>
  <c r="P147" i="7" s="1"/>
  <c r="N147" i="7"/>
  <c r="M147" i="7"/>
  <c r="L147" i="7"/>
  <c r="Q146" i="7"/>
  <c r="O146" i="7"/>
  <c r="P146" i="7" s="1"/>
  <c r="N146" i="7"/>
  <c r="M146" i="7"/>
  <c r="L146" i="7"/>
  <c r="Q145" i="7"/>
  <c r="O145" i="7"/>
  <c r="P145" i="7" s="1"/>
  <c r="N145" i="7"/>
  <c r="M145" i="7"/>
  <c r="L145" i="7"/>
  <c r="Q144" i="7"/>
  <c r="O144" i="7"/>
  <c r="P144" i="7" s="1"/>
  <c r="N144" i="7"/>
  <c r="M144" i="7"/>
  <c r="L144" i="7"/>
  <c r="Q143" i="7"/>
  <c r="O143" i="7"/>
  <c r="P143" i="7" s="1"/>
  <c r="N143" i="7"/>
  <c r="M143" i="7"/>
  <c r="L143" i="7"/>
  <c r="Q142" i="7"/>
  <c r="O142" i="7"/>
  <c r="P142" i="7" s="1"/>
  <c r="N142" i="7"/>
  <c r="M142" i="7"/>
  <c r="L142" i="7"/>
  <c r="Q141" i="7"/>
  <c r="O141" i="7"/>
  <c r="P141" i="7" s="1"/>
  <c r="N141" i="7"/>
  <c r="M141" i="7"/>
  <c r="L141" i="7"/>
  <c r="Q140" i="7"/>
  <c r="O140" i="7"/>
  <c r="P140" i="7" s="1"/>
  <c r="N140" i="7"/>
  <c r="M140" i="7"/>
  <c r="L140" i="7"/>
  <c r="Q139" i="7"/>
  <c r="O139" i="7"/>
  <c r="P139" i="7" s="1"/>
  <c r="N139" i="7"/>
  <c r="M139" i="7"/>
  <c r="L139" i="7"/>
  <c r="Q138" i="7"/>
  <c r="O138" i="7"/>
  <c r="P138" i="7" s="1"/>
  <c r="N138" i="7"/>
  <c r="M138" i="7"/>
  <c r="L138" i="7"/>
  <c r="Q137" i="7"/>
  <c r="O137" i="7"/>
  <c r="P137" i="7" s="1"/>
  <c r="N137" i="7"/>
  <c r="M137" i="7"/>
  <c r="L137" i="7"/>
  <c r="Q136" i="7"/>
  <c r="O136" i="7"/>
  <c r="P136" i="7" s="1"/>
  <c r="N136" i="7"/>
  <c r="M136" i="7"/>
  <c r="L136" i="7"/>
  <c r="Q135" i="7"/>
  <c r="O135" i="7"/>
  <c r="P135" i="7" s="1"/>
  <c r="N135" i="7"/>
  <c r="M135" i="7"/>
  <c r="L135" i="7"/>
  <c r="Q134" i="7"/>
  <c r="O134" i="7"/>
  <c r="P134" i="7" s="1"/>
  <c r="N134" i="7"/>
  <c r="M134" i="7"/>
  <c r="L134" i="7"/>
  <c r="Q133" i="7"/>
  <c r="O133" i="7"/>
  <c r="P133" i="7" s="1"/>
  <c r="N133" i="7"/>
  <c r="M133" i="7"/>
  <c r="L133" i="7"/>
  <c r="Q132" i="7"/>
  <c r="O132" i="7"/>
  <c r="P132" i="7" s="1"/>
  <c r="N132" i="7"/>
  <c r="M132" i="7"/>
  <c r="L132" i="7"/>
  <c r="Q131" i="7"/>
  <c r="O131" i="7"/>
  <c r="P131" i="7" s="1"/>
  <c r="N131" i="7"/>
  <c r="M131" i="7"/>
  <c r="L131" i="7"/>
  <c r="Q130" i="7"/>
  <c r="O130" i="7"/>
  <c r="P130" i="7" s="1"/>
  <c r="N130" i="7"/>
  <c r="M130" i="7"/>
  <c r="L130" i="7"/>
  <c r="Q129" i="7"/>
  <c r="O129" i="7"/>
  <c r="P129" i="7" s="1"/>
  <c r="N129" i="7"/>
  <c r="M129" i="7"/>
  <c r="L129" i="7"/>
  <c r="Q128" i="7"/>
  <c r="O128" i="7"/>
  <c r="P128" i="7" s="1"/>
  <c r="N128" i="7"/>
  <c r="M128" i="7"/>
  <c r="L128" i="7"/>
  <c r="Q127" i="7"/>
  <c r="O127" i="7"/>
  <c r="P127" i="7" s="1"/>
  <c r="N127" i="7"/>
  <c r="M127" i="7"/>
  <c r="L127" i="7"/>
  <c r="Q126" i="7"/>
  <c r="O126" i="7"/>
  <c r="P126" i="7" s="1"/>
  <c r="N126" i="7"/>
  <c r="M126" i="7"/>
  <c r="L126" i="7"/>
  <c r="Q125" i="7"/>
  <c r="O125" i="7"/>
  <c r="P125" i="7" s="1"/>
  <c r="N125" i="7"/>
  <c r="M125" i="7"/>
  <c r="L125" i="7"/>
  <c r="Q124" i="7"/>
  <c r="O124" i="7"/>
  <c r="P124" i="7" s="1"/>
  <c r="N124" i="7"/>
  <c r="M124" i="7"/>
  <c r="L124" i="7"/>
  <c r="Q123" i="7"/>
  <c r="O123" i="7"/>
  <c r="P123" i="7" s="1"/>
  <c r="N123" i="7"/>
  <c r="M123" i="7"/>
  <c r="L123" i="7"/>
  <c r="Q122" i="7"/>
  <c r="O122" i="7"/>
  <c r="P122" i="7" s="1"/>
  <c r="N122" i="7"/>
  <c r="M122" i="7"/>
  <c r="L122" i="7"/>
  <c r="Q121" i="7"/>
  <c r="O121" i="7"/>
  <c r="P121" i="7" s="1"/>
  <c r="N121" i="7"/>
  <c r="M121" i="7"/>
  <c r="L121" i="7"/>
  <c r="Q120" i="7"/>
  <c r="O120" i="7"/>
  <c r="P120" i="7" s="1"/>
  <c r="N120" i="7"/>
  <c r="M120" i="7"/>
  <c r="L120" i="7"/>
  <c r="Q119" i="7"/>
  <c r="O119" i="7"/>
  <c r="P119" i="7" s="1"/>
  <c r="N119" i="7"/>
  <c r="M119" i="7"/>
  <c r="L119" i="7"/>
  <c r="Q118" i="7"/>
  <c r="O118" i="7"/>
  <c r="P118" i="7" s="1"/>
  <c r="N118" i="7"/>
  <c r="M118" i="7"/>
  <c r="L118" i="7"/>
  <c r="Q117" i="7"/>
  <c r="O117" i="7"/>
  <c r="P117" i="7" s="1"/>
  <c r="N117" i="7"/>
  <c r="M117" i="7"/>
  <c r="L117" i="7"/>
  <c r="Q116" i="7"/>
  <c r="O116" i="7"/>
  <c r="P116" i="7" s="1"/>
  <c r="N116" i="7"/>
  <c r="M116" i="7"/>
  <c r="L116" i="7"/>
  <c r="Q115" i="7"/>
  <c r="O115" i="7"/>
  <c r="P115" i="7" s="1"/>
  <c r="N115" i="7"/>
  <c r="M115" i="7"/>
  <c r="L115" i="7"/>
  <c r="Q114" i="7"/>
  <c r="O114" i="7"/>
  <c r="P114" i="7" s="1"/>
  <c r="N114" i="7"/>
  <c r="M114" i="7"/>
  <c r="L114" i="7"/>
  <c r="Q113" i="7"/>
  <c r="O113" i="7"/>
  <c r="P113" i="7" s="1"/>
  <c r="N113" i="7"/>
  <c r="M113" i="7"/>
  <c r="L113" i="7"/>
  <c r="Q112" i="7"/>
  <c r="O112" i="7"/>
  <c r="P112" i="7" s="1"/>
  <c r="N112" i="7"/>
  <c r="M112" i="7"/>
  <c r="L112" i="7"/>
  <c r="Q111" i="7"/>
  <c r="O111" i="7"/>
  <c r="P111" i="7" s="1"/>
  <c r="N111" i="7"/>
  <c r="M111" i="7"/>
  <c r="L111" i="7"/>
  <c r="Q110" i="7"/>
  <c r="O110" i="7"/>
  <c r="P110" i="7" s="1"/>
  <c r="N110" i="7"/>
  <c r="M110" i="7"/>
  <c r="L110" i="7"/>
  <c r="Q109" i="7"/>
  <c r="O109" i="7"/>
  <c r="P109" i="7" s="1"/>
  <c r="N109" i="7"/>
  <c r="M109" i="7"/>
  <c r="L109" i="7"/>
  <c r="Q108" i="7"/>
  <c r="O108" i="7"/>
  <c r="P108" i="7" s="1"/>
  <c r="N108" i="7"/>
  <c r="M108" i="7"/>
  <c r="L108" i="7"/>
  <c r="Q107" i="7"/>
  <c r="O107" i="7"/>
  <c r="P107" i="7" s="1"/>
  <c r="N107" i="7"/>
  <c r="M107" i="7"/>
  <c r="L107" i="7"/>
  <c r="Q106" i="7"/>
  <c r="O106" i="7"/>
  <c r="P106" i="7" s="1"/>
  <c r="N106" i="7"/>
  <c r="M106" i="7"/>
  <c r="L106" i="7"/>
  <c r="Q105" i="7"/>
  <c r="O105" i="7"/>
  <c r="P105" i="7" s="1"/>
  <c r="N105" i="7"/>
  <c r="M105" i="7"/>
  <c r="L105" i="7"/>
  <c r="Q104" i="7"/>
  <c r="O104" i="7"/>
  <c r="P104" i="7" s="1"/>
  <c r="N104" i="7"/>
  <c r="M104" i="7"/>
  <c r="L104" i="7"/>
  <c r="Q103" i="7"/>
  <c r="O103" i="7"/>
  <c r="P103" i="7" s="1"/>
  <c r="N103" i="7"/>
  <c r="M103" i="7"/>
  <c r="L103" i="7"/>
  <c r="Q102" i="7"/>
  <c r="O102" i="7"/>
  <c r="P102" i="7" s="1"/>
  <c r="N102" i="7"/>
  <c r="M102" i="7"/>
  <c r="L102" i="7"/>
  <c r="Q101" i="7"/>
  <c r="O101" i="7"/>
  <c r="P101" i="7" s="1"/>
  <c r="N101" i="7"/>
  <c r="M101" i="7"/>
  <c r="L101" i="7"/>
  <c r="Q100" i="7"/>
  <c r="O100" i="7"/>
  <c r="P100" i="7" s="1"/>
  <c r="N100" i="7"/>
  <c r="M100" i="7"/>
  <c r="L100" i="7"/>
  <c r="Q99" i="7"/>
  <c r="O99" i="7"/>
  <c r="P99" i="7" s="1"/>
  <c r="N99" i="7"/>
  <c r="M99" i="7"/>
  <c r="L99" i="7"/>
  <c r="Q98" i="7"/>
  <c r="O98" i="7"/>
  <c r="P98" i="7" s="1"/>
  <c r="N98" i="7"/>
  <c r="M98" i="7"/>
  <c r="L98" i="7"/>
  <c r="Q97" i="7"/>
  <c r="O97" i="7"/>
  <c r="P97" i="7" s="1"/>
  <c r="N97" i="7"/>
  <c r="M97" i="7"/>
  <c r="L97" i="7"/>
  <c r="Q96" i="7"/>
  <c r="O96" i="7"/>
  <c r="P96" i="7" s="1"/>
  <c r="N96" i="7"/>
  <c r="M96" i="7"/>
  <c r="L96" i="7"/>
  <c r="Q95" i="7"/>
  <c r="O95" i="7"/>
  <c r="P95" i="7" s="1"/>
  <c r="N95" i="7"/>
  <c r="M95" i="7"/>
  <c r="L95" i="7"/>
  <c r="Q94" i="7"/>
  <c r="O94" i="7"/>
  <c r="P94" i="7" s="1"/>
  <c r="N94" i="7"/>
  <c r="M94" i="7"/>
  <c r="L94" i="7"/>
  <c r="Q93" i="7"/>
  <c r="O93" i="7"/>
  <c r="P93" i="7" s="1"/>
  <c r="N93" i="7"/>
  <c r="M93" i="7"/>
  <c r="L93" i="7"/>
  <c r="Q92" i="7"/>
  <c r="O92" i="7"/>
  <c r="P92" i="7" s="1"/>
  <c r="N92" i="7"/>
  <c r="M92" i="7"/>
  <c r="L92" i="7"/>
  <c r="Q91" i="7"/>
  <c r="O91" i="7"/>
  <c r="P91" i="7" s="1"/>
  <c r="N91" i="7"/>
  <c r="M91" i="7"/>
  <c r="L91" i="7"/>
  <c r="Q90" i="7"/>
  <c r="O90" i="7"/>
  <c r="P90" i="7" s="1"/>
  <c r="N90" i="7"/>
  <c r="M90" i="7"/>
  <c r="L90" i="7"/>
  <c r="Q89" i="7"/>
  <c r="O89" i="7"/>
  <c r="P89" i="7" s="1"/>
  <c r="N89" i="7"/>
  <c r="M89" i="7"/>
  <c r="L89" i="7"/>
  <c r="Q88" i="7"/>
  <c r="O88" i="7"/>
  <c r="P88" i="7" s="1"/>
  <c r="N88" i="7"/>
  <c r="M88" i="7"/>
  <c r="L88" i="7"/>
  <c r="Q87" i="7"/>
  <c r="O87" i="7"/>
  <c r="P87" i="7" s="1"/>
  <c r="N87" i="7"/>
  <c r="M87" i="7"/>
  <c r="L87" i="7"/>
  <c r="Q86" i="7"/>
  <c r="O86" i="7"/>
  <c r="P86" i="7" s="1"/>
  <c r="N86" i="7"/>
  <c r="M86" i="7"/>
  <c r="L86" i="7"/>
  <c r="Q85" i="7"/>
  <c r="O85" i="7"/>
  <c r="P85" i="7" s="1"/>
  <c r="N85" i="7"/>
  <c r="M85" i="7"/>
  <c r="L85" i="7"/>
  <c r="Q84" i="7"/>
  <c r="O84" i="7"/>
  <c r="P84" i="7" s="1"/>
  <c r="N84" i="7"/>
  <c r="M84" i="7"/>
  <c r="L84" i="7"/>
  <c r="Q83" i="7"/>
  <c r="O83" i="7"/>
  <c r="P83" i="7" s="1"/>
  <c r="N83" i="7"/>
  <c r="M83" i="7"/>
  <c r="L83" i="7"/>
  <c r="Q82" i="7"/>
  <c r="O82" i="7"/>
  <c r="P82" i="7" s="1"/>
  <c r="N82" i="7"/>
  <c r="M82" i="7"/>
  <c r="L82" i="7"/>
  <c r="Q81" i="7"/>
  <c r="O81" i="7"/>
  <c r="P81" i="7" s="1"/>
  <c r="N81" i="7"/>
  <c r="M81" i="7"/>
  <c r="L81" i="7"/>
  <c r="Q80" i="7"/>
  <c r="O80" i="7"/>
  <c r="P80" i="7" s="1"/>
  <c r="N80" i="7"/>
  <c r="M80" i="7"/>
  <c r="L80" i="7"/>
  <c r="Q79" i="7"/>
  <c r="O79" i="7"/>
  <c r="P79" i="7" s="1"/>
  <c r="N79" i="7"/>
  <c r="M79" i="7"/>
  <c r="L79" i="7"/>
  <c r="Q78" i="7"/>
  <c r="O78" i="7"/>
  <c r="P78" i="7" s="1"/>
  <c r="N78" i="7"/>
  <c r="M78" i="7"/>
  <c r="L78" i="7"/>
  <c r="Q77" i="7"/>
  <c r="O77" i="7"/>
  <c r="P77" i="7" s="1"/>
  <c r="N77" i="7"/>
  <c r="M77" i="7"/>
  <c r="L77" i="7"/>
  <c r="Q76" i="7"/>
  <c r="O76" i="7"/>
  <c r="P76" i="7" s="1"/>
  <c r="N76" i="7"/>
  <c r="M76" i="7"/>
  <c r="L76" i="7"/>
  <c r="Q75" i="7"/>
  <c r="O75" i="7"/>
  <c r="P75" i="7" s="1"/>
  <c r="N75" i="7"/>
  <c r="M75" i="7"/>
  <c r="L75" i="7"/>
  <c r="Q74" i="7"/>
  <c r="O74" i="7"/>
  <c r="P74" i="7" s="1"/>
  <c r="N74" i="7"/>
  <c r="M74" i="7"/>
  <c r="L74" i="7"/>
  <c r="Q73" i="7"/>
  <c r="O73" i="7"/>
  <c r="P73" i="7" s="1"/>
  <c r="N73" i="7"/>
  <c r="M73" i="7"/>
  <c r="L73" i="7"/>
  <c r="Q72" i="7"/>
  <c r="O72" i="7"/>
  <c r="P72" i="7" s="1"/>
  <c r="N72" i="7"/>
  <c r="M72" i="7"/>
  <c r="L72" i="7"/>
  <c r="Q71" i="7"/>
  <c r="O71" i="7"/>
  <c r="P71" i="7" s="1"/>
  <c r="N71" i="7"/>
  <c r="M71" i="7"/>
  <c r="L71" i="7"/>
  <c r="Q70" i="7"/>
  <c r="O70" i="7"/>
  <c r="P70" i="7" s="1"/>
  <c r="N70" i="7"/>
  <c r="M70" i="7"/>
  <c r="L70" i="7"/>
  <c r="Q69" i="7"/>
  <c r="O69" i="7"/>
  <c r="P69" i="7" s="1"/>
  <c r="N69" i="7"/>
  <c r="M69" i="7"/>
  <c r="L69" i="7"/>
  <c r="Q68" i="7"/>
  <c r="O68" i="7"/>
  <c r="P68" i="7" s="1"/>
  <c r="N68" i="7"/>
  <c r="M68" i="7"/>
  <c r="L68" i="7"/>
  <c r="Q67" i="7"/>
  <c r="O67" i="7"/>
  <c r="P67" i="7" s="1"/>
  <c r="N67" i="7"/>
  <c r="M67" i="7"/>
  <c r="L67" i="7"/>
  <c r="Q66" i="7"/>
  <c r="O66" i="7"/>
  <c r="P66" i="7" s="1"/>
  <c r="N66" i="7"/>
  <c r="M66" i="7"/>
  <c r="L66" i="7"/>
  <c r="Q65" i="7"/>
  <c r="O65" i="7"/>
  <c r="P65" i="7" s="1"/>
  <c r="N65" i="7"/>
  <c r="M65" i="7"/>
  <c r="L65" i="7"/>
  <c r="Q64" i="7"/>
  <c r="O64" i="7"/>
  <c r="P64" i="7" s="1"/>
  <c r="N64" i="7"/>
  <c r="M64" i="7"/>
  <c r="L64" i="7"/>
  <c r="Q63" i="7"/>
  <c r="O63" i="7"/>
  <c r="P63" i="7" s="1"/>
  <c r="N63" i="7"/>
  <c r="M63" i="7"/>
  <c r="L63" i="7"/>
  <c r="Q62" i="7"/>
  <c r="O62" i="7"/>
  <c r="P62" i="7" s="1"/>
  <c r="N62" i="7"/>
  <c r="M62" i="7"/>
  <c r="L62" i="7"/>
  <c r="Q61" i="7"/>
  <c r="O61" i="7"/>
  <c r="P61" i="7" s="1"/>
  <c r="N61" i="7"/>
  <c r="M61" i="7"/>
  <c r="L61" i="7"/>
  <c r="Q60" i="7"/>
  <c r="O60" i="7"/>
  <c r="P60" i="7" s="1"/>
  <c r="N60" i="7"/>
  <c r="M60" i="7"/>
  <c r="L60" i="7"/>
  <c r="Q59" i="7"/>
  <c r="O59" i="7"/>
  <c r="P59" i="7" s="1"/>
  <c r="N59" i="7"/>
  <c r="M59" i="7"/>
  <c r="L59" i="7"/>
  <c r="Q58" i="7"/>
  <c r="O58" i="7"/>
  <c r="P58" i="7" s="1"/>
  <c r="N58" i="7"/>
  <c r="M58" i="7"/>
  <c r="L58" i="7"/>
  <c r="Q57" i="7"/>
  <c r="O57" i="7"/>
  <c r="P57" i="7" s="1"/>
  <c r="N57" i="7"/>
  <c r="M57" i="7"/>
  <c r="L57" i="7"/>
  <c r="Q56" i="7"/>
  <c r="O56" i="7"/>
  <c r="P56" i="7" s="1"/>
  <c r="N56" i="7"/>
  <c r="M56" i="7"/>
  <c r="L56" i="7"/>
  <c r="Q55" i="7"/>
  <c r="O55" i="7"/>
  <c r="P55" i="7" s="1"/>
  <c r="N55" i="7"/>
  <c r="M55" i="7"/>
  <c r="L55" i="7"/>
  <c r="Q54" i="7"/>
  <c r="O54" i="7"/>
  <c r="P54" i="7" s="1"/>
  <c r="N54" i="7"/>
  <c r="M54" i="7"/>
  <c r="L54" i="7"/>
  <c r="Q53" i="7"/>
  <c r="O53" i="7"/>
  <c r="P53" i="7" s="1"/>
  <c r="N53" i="7"/>
  <c r="M53" i="7"/>
  <c r="L53" i="7"/>
  <c r="Q52" i="7"/>
  <c r="O52" i="7"/>
  <c r="P52" i="7" s="1"/>
  <c r="N52" i="7"/>
  <c r="M52" i="7"/>
  <c r="L52" i="7"/>
  <c r="Q51" i="7"/>
  <c r="O51" i="7"/>
  <c r="P51" i="7" s="1"/>
  <c r="N51" i="7"/>
  <c r="M51" i="7"/>
  <c r="L51" i="7"/>
  <c r="Q50" i="7"/>
  <c r="O50" i="7"/>
  <c r="P50" i="7" s="1"/>
  <c r="N50" i="7"/>
  <c r="M50" i="7"/>
  <c r="L50" i="7"/>
  <c r="Q49" i="7"/>
  <c r="O49" i="7"/>
  <c r="P49" i="7" s="1"/>
  <c r="N49" i="7"/>
  <c r="M49" i="7"/>
  <c r="L49" i="7"/>
  <c r="Q48" i="7"/>
  <c r="O48" i="7"/>
  <c r="P48" i="7" s="1"/>
  <c r="N48" i="7"/>
  <c r="M48" i="7"/>
  <c r="L48" i="7"/>
  <c r="Q47" i="7"/>
  <c r="O47" i="7"/>
  <c r="P47" i="7" s="1"/>
  <c r="N47" i="7"/>
  <c r="M47" i="7"/>
  <c r="L47" i="7"/>
  <c r="Q46" i="7"/>
  <c r="O46" i="7"/>
  <c r="P46" i="7" s="1"/>
  <c r="N46" i="7"/>
  <c r="M46" i="7"/>
  <c r="L46" i="7"/>
  <c r="Q45" i="7"/>
  <c r="O45" i="7"/>
  <c r="P45" i="7" s="1"/>
  <c r="N45" i="7"/>
  <c r="M45" i="7"/>
  <c r="L45" i="7"/>
  <c r="M44" i="7"/>
  <c r="N44" i="7" s="1"/>
  <c r="Q44" i="7" s="1"/>
  <c r="L44" i="7"/>
  <c r="O44" i="7" s="1"/>
  <c r="P44" i="7" s="1"/>
  <c r="M43" i="7"/>
  <c r="N43" i="7" s="1"/>
  <c r="Q43" i="7" s="1"/>
  <c r="L43" i="7"/>
  <c r="O43" i="7" s="1"/>
  <c r="P43" i="7" s="1"/>
  <c r="M42" i="7"/>
  <c r="N42" i="7" s="1"/>
  <c r="Q42" i="7" s="1"/>
  <c r="L42" i="7"/>
  <c r="O42" i="7" s="1"/>
  <c r="P42" i="7" s="1"/>
  <c r="M41" i="7"/>
  <c r="N41" i="7" s="1"/>
  <c r="Q41" i="7" s="1"/>
  <c r="L41" i="7"/>
  <c r="O41" i="7" s="1"/>
  <c r="P41" i="7" s="1"/>
  <c r="M40" i="7"/>
  <c r="N40" i="7" s="1"/>
  <c r="Q40" i="7" s="1"/>
  <c r="L40" i="7"/>
  <c r="O40" i="7" s="1"/>
  <c r="P40" i="7" s="1"/>
  <c r="M39" i="7"/>
  <c r="N39" i="7" s="1"/>
  <c r="L39" i="7"/>
  <c r="O39" i="7" s="1"/>
  <c r="P39" i="7" s="1"/>
  <c r="M38" i="7"/>
  <c r="N38" i="7" s="1"/>
  <c r="Q38" i="7" s="1"/>
  <c r="L38" i="7"/>
  <c r="O38" i="7" s="1"/>
  <c r="P38" i="7" s="1"/>
  <c r="M37" i="7"/>
  <c r="N37" i="7" s="1"/>
  <c r="Q37" i="7" s="1"/>
  <c r="L37" i="7"/>
  <c r="O37" i="7" s="1"/>
  <c r="P37" i="7" s="1"/>
  <c r="M36" i="7"/>
  <c r="N36" i="7" s="1"/>
  <c r="Q36" i="7" s="1"/>
  <c r="L36" i="7"/>
  <c r="O36" i="7" s="1"/>
  <c r="P36" i="7" s="1"/>
  <c r="M35" i="7"/>
  <c r="N35" i="7" s="1"/>
  <c r="Q35" i="7" s="1"/>
  <c r="L35" i="7"/>
  <c r="O35" i="7" s="1"/>
  <c r="P35" i="7" s="1"/>
  <c r="M34" i="7"/>
  <c r="N34" i="7" s="1"/>
  <c r="Q34" i="7" s="1"/>
  <c r="L34" i="7"/>
  <c r="O34" i="7" s="1"/>
  <c r="P34" i="7" s="1"/>
  <c r="M33" i="7"/>
  <c r="N33" i="7" s="1"/>
  <c r="Q33" i="7" s="1"/>
  <c r="L33" i="7"/>
  <c r="O33" i="7" s="1"/>
  <c r="P33" i="7" s="1"/>
  <c r="M32" i="7"/>
  <c r="N32" i="7" s="1"/>
  <c r="Q32" i="7" s="1"/>
  <c r="L32" i="7"/>
  <c r="O32" i="7" s="1"/>
  <c r="P32" i="7" s="1"/>
  <c r="M31" i="7"/>
  <c r="N31" i="7" s="1"/>
  <c r="Q31" i="7" s="1"/>
  <c r="L31" i="7"/>
  <c r="O31" i="7" s="1"/>
  <c r="P31" i="7" s="1"/>
  <c r="M30" i="7"/>
  <c r="N30" i="7" s="1"/>
  <c r="Q30" i="7" s="1"/>
  <c r="L30" i="7"/>
  <c r="O30" i="7" s="1"/>
  <c r="P30" i="7" s="1"/>
  <c r="M29" i="7"/>
  <c r="N29" i="7" s="1"/>
  <c r="Q29" i="7" s="1"/>
  <c r="L29" i="7"/>
  <c r="O29" i="7" s="1"/>
  <c r="P29" i="7" s="1"/>
  <c r="M28" i="7"/>
  <c r="N28" i="7" s="1"/>
  <c r="Q28" i="7" s="1"/>
  <c r="L28" i="7"/>
  <c r="O28" i="7" s="1"/>
  <c r="P28" i="7" s="1"/>
  <c r="M27" i="7"/>
  <c r="N27" i="7" s="1"/>
  <c r="Q27" i="7" s="1"/>
  <c r="L27" i="7"/>
  <c r="O27" i="7" s="1"/>
  <c r="P27" i="7" s="1"/>
  <c r="M26" i="7"/>
  <c r="N26" i="7" s="1"/>
  <c r="Q26" i="7" s="1"/>
  <c r="L26" i="7"/>
  <c r="O26" i="7" s="1"/>
  <c r="P26" i="7" s="1"/>
  <c r="M25" i="7"/>
  <c r="N25" i="7" s="1"/>
  <c r="Q25" i="7" s="1"/>
  <c r="L25" i="7"/>
  <c r="O25" i="7" s="1"/>
  <c r="P25" i="7" s="1"/>
  <c r="M24" i="7"/>
  <c r="N24" i="7" s="1"/>
  <c r="Q24" i="7" s="1"/>
  <c r="L24" i="7"/>
  <c r="O24" i="7" s="1"/>
  <c r="P24" i="7" s="1"/>
  <c r="M23" i="7"/>
  <c r="N23" i="7" s="1"/>
  <c r="Q23" i="7" s="1"/>
  <c r="L23" i="7"/>
  <c r="O23" i="7" s="1"/>
  <c r="P23" i="7" s="1"/>
  <c r="M22" i="7"/>
  <c r="N22" i="7" s="1"/>
  <c r="Q22" i="7" s="1"/>
  <c r="L22" i="7"/>
  <c r="O22" i="7" s="1"/>
  <c r="P22" i="7" s="1"/>
  <c r="M21" i="7"/>
  <c r="N21" i="7" s="1"/>
  <c r="Q21" i="7" s="1"/>
  <c r="L21" i="7"/>
  <c r="O21" i="7" s="1"/>
  <c r="P21" i="7" s="1"/>
  <c r="M20" i="7"/>
  <c r="N20" i="7" s="1"/>
  <c r="Q20" i="7" s="1"/>
  <c r="L20" i="7"/>
  <c r="O20" i="7" s="1"/>
  <c r="P20" i="7" s="1"/>
  <c r="M19" i="7"/>
  <c r="N19" i="7" s="1"/>
  <c r="Q19" i="7" s="1"/>
  <c r="L19" i="7"/>
  <c r="O19" i="7" s="1"/>
  <c r="P19" i="7" s="1"/>
  <c r="M18" i="7"/>
  <c r="N18" i="7" s="1"/>
  <c r="Q18" i="7" s="1"/>
  <c r="L18" i="7"/>
  <c r="O18" i="7" s="1"/>
  <c r="P18" i="7" s="1"/>
  <c r="M17" i="7"/>
  <c r="N17" i="7" s="1"/>
  <c r="Q17" i="7" s="1"/>
  <c r="L17" i="7"/>
  <c r="O17" i="7" s="1"/>
  <c r="P17" i="7" s="1"/>
  <c r="O16" i="7"/>
  <c r="P16" i="7" s="1"/>
  <c r="M16" i="7"/>
  <c r="N16" i="7" s="1"/>
  <c r="Q16" i="7" s="1"/>
  <c r="L16" i="7"/>
  <c r="M15" i="7"/>
  <c r="N15" i="7" s="1"/>
  <c r="Q15" i="7" s="1"/>
  <c r="L15" i="7"/>
  <c r="O15" i="7" s="1"/>
  <c r="P15" i="7" s="1"/>
  <c r="O14" i="7"/>
  <c r="P14" i="7" s="1"/>
  <c r="M14" i="7"/>
  <c r="N14" i="7" s="1"/>
  <c r="Q14" i="7" s="1"/>
  <c r="L14" i="7"/>
  <c r="O13" i="7"/>
  <c r="P13" i="7" s="1"/>
  <c r="M13" i="7"/>
  <c r="N13" i="7" s="1"/>
  <c r="Q13" i="7" s="1"/>
  <c r="L13" i="7"/>
  <c r="M12" i="7"/>
  <c r="N12" i="7" s="1"/>
  <c r="Q12" i="7" s="1"/>
  <c r="L12" i="7"/>
  <c r="O12" i="7" s="1"/>
  <c r="P12" i="7" s="1"/>
  <c r="O11" i="7"/>
  <c r="P11" i="7" s="1"/>
  <c r="M11" i="7"/>
  <c r="N11" i="7" s="1"/>
  <c r="Q11" i="7" s="1"/>
  <c r="L11" i="7"/>
  <c r="O10" i="7"/>
  <c r="P10" i="7" s="1"/>
  <c r="N10" i="7"/>
  <c r="Q10" i="7" s="1"/>
  <c r="M10" i="7"/>
  <c r="L10" i="7"/>
  <c r="M9" i="7"/>
  <c r="N9" i="7" s="1"/>
  <c r="L9" i="7"/>
  <c r="O9" i="7" s="1"/>
  <c r="S108" i="6"/>
  <c r="R108" i="6"/>
  <c r="P108" i="6"/>
  <c r="Q108" i="6" s="1"/>
  <c r="N108" i="6"/>
  <c r="M108" i="6"/>
  <c r="S107" i="6"/>
  <c r="R107" i="6"/>
  <c r="P107" i="6"/>
  <c r="Q107" i="6" s="1"/>
  <c r="N107" i="6"/>
  <c r="M107" i="6"/>
  <c r="S106" i="6"/>
  <c r="R106" i="6"/>
  <c r="P106" i="6"/>
  <c r="Q106" i="6" s="1"/>
  <c r="N106" i="6"/>
  <c r="M106" i="6"/>
  <c r="S105" i="6"/>
  <c r="R105" i="6"/>
  <c r="P105" i="6"/>
  <c r="Q105" i="6" s="1"/>
  <c r="N105" i="6"/>
  <c r="M105" i="6"/>
  <c r="S104" i="6"/>
  <c r="R104" i="6"/>
  <c r="P104" i="6"/>
  <c r="Q104" i="6" s="1"/>
  <c r="N104" i="6"/>
  <c r="M104" i="6"/>
  <c r="S103" i="6"/>
  <c r="R103" i="6"/>
  <c r="P103" i="6"/>
  <c r="Q103" i="6" s="1"/>
  <c r="N103" i="6"/>
  <c r="M103" i="6"/>
  <c r="S102" i="6"/>
  <c r="R102" i="6"/>
  <c r="P102" i="6"/>
  <c r="Q102" i="6" s="1"/>
  <c r="N102" i="6"/>
  <c r="M102" i="6"/>
  <c r="S101" i="6"/>
  <c r="R101" i="6"/>
  <c r="P101" i="6"/>
  <c r="Q101" i="6" s="1"/>
  <c r="N101" i="6"/>
  <c r="M101" i="6"/>
  <c r="S100" i="6"/>
  <c r="R100" i="6"/>
  <c r="P100" i="6"/>
  <c r="Q100" i="6" s="1"/>
  <c r="N100" i="6"/>
  <c r="M100" i="6"/>
  <c r="S99" i="6"/>
  <c r="R99" i="6"/>
  <c r="P99" i="6"/>
  <c r="Q99" i="6" s="1"/>
  <c r="N99" i="6"/>
  <c r="M99" i="6"/>
  <c r="S98" i="6"/>
  <c r="R98" i="6"/>
  <c r="P98" i="6"/>
  <c r="Q98" i="6" s="1"/>
  <c r="N98" i="6"/>
  <c r="M98" i="6"/>
  <c r="S97" i="6"/>
  <c r="R97" i="6"/>
  <c r="P97" i="6"/>
  <c r="Q97" i="6" s="1"/>
  <c r="N97" i="6"/>
  <c r="M97" i="6"/>
  <c r="S96" i="6"/>
  <c r="R96" i="6"/>
  <c r="P96" i="6"/>
  <c r="Q96" i="6" s="1"/>
  <c r="N96" i="6"/>
  <c r="M96" i="6"/>
  <c r="S95" i="6"/>
  <c r="R95" i="6"/>
  <c r="P95" i="6"/>
  <c r="Q95" i="6" s="1"/>
  <c r="N95" i="6"/>
  <c r="M95" i="6"/>
  <c r="S94" i="6"/>
  <c r="R94" i="6"/>
  <c r="P94" i="6"/>
  <c r="Q94" i="6" s="1"/>
  <c r="N94" i="6"/>
  <c r="M94" i="6"/>
  <c r="S93" i="6"/>
  <c r="R93" i="6"/>
  <c r="P93" i="6"/>
  <c r="Q93" i="6" s="1"/>
  <c r="N93" i="6"/>
  <c r="M93" i="6"/>
  <c r="S92" i="6"/>
  <c r="R92" i="6"/>
  <c r="P92" i="6"/>
  <c r="Q92" i="6" s="1"/>
  <c r="N92" i="6"/>
  <c r="M92" i="6"/>
  <c r="S91" i="6"/>
  <c r="R91" i="6"/>
  <c r="P91" i="6"/>
  <c r="Q91" i="6" s="1"/>
  <c r="N91" i="6"/>
  <c r="M91" i="6"/>
  <c r="S90" i="6"/>
  <c r="R90" i="6"/>
  <c r="P90" i="6"/>
  <c r="Q90" i="6" s="1"/>
  <c r="N90" i="6"/>
  <c r="M90" i="6"/>
  <c r="S89" i="6"/>
  <c r="R89" i="6"/>
  <c r="P89" i="6"/>
  <c r="Q89" i="6" s="1"/>
  <c r="N89" i="6"/>
  <c r="M89" i="6"/>
  <c r="S88" i="6"/>
  <c r="R88" i="6"/>
  <c r="P88" i="6"/>
  <c r="Q88" i="6" s="1"/>
  <c r="N88" i="6"/>
  <c r="M88" i="6"/>
  <c r="S87" i="6"/>
  <c r="R87" i="6"/>
  <c r="P87" i="6"/>
  <c r="Q87" i="6" s="1"/>
  <c r="N87" i="6"/>
  <c r="M87" i="6"/>
  <c r="S86" i="6"/>
  <c r="R86" i="6"/>
  <c r="P86" i="6"/>
  <c r="Q86" i="6" s="1"/>
  <c r="N86" i="6"/>
  <c r="M86" i="6"/>
  <c r="S85" i="6"/>
  <c r="R85" i="6"/>
  <c r="P85" i="6"/>
  <c r="Q85" i="6" s="1"/>
  <c r="N85" i="6"/>
  <c r="M85" i="6"/>
  <c r="S84" i="6"/>
  <c r="R84" i="6"/>
  <c r="P84" i="6"/>
  <c r="Q84" i="6" s="1"/>
  <c r="N84" i="6"/>
  <c r="M84" i="6"/>
  <c r="S83" i="6"/>
  <c r="R83" i="6"/>
  <c r="P83" i="6"/>
  <c r="Q83" i="6" s="1"/>
  <c r="N83" i="6"/>
  <c r="M83" i="6"/>
  <c r="S82" i="6"/>
  <c r="R82" i="6"/>
  <c r="P82" i="6"/>
  <c r="Q82" i="6" s="1"/>
  <c r="N82" i="6"/>
  <c r="M82" i="6"/>
  <c r="S81" i="6"/>
  <c r="R81" i="6"/>
  <c r="P81" i="6"/>
  <c r="Q81" i="6" s="1"/>
  <c r="N81" i="6"/>
  <c r="M81" i="6"/>
  <c r="S80" i="6"/>
  <c r="R80" i="6"/>
  <c r="P80" i="6"/>
  <c r="Q80" i="6" s="1"/>
  <c r="N80" i="6"/>
  <c r="M80" i="6"/>
  <c r="S79" i="6"/>
  <c r="R79" i="6"/>
  <c r="P79" i="6"/>
  <c r="Q79" i="6" s="1"/>
  <c r="N79" i="6"/>
  <c r="M79" i="6"/>
  <c r="S78" i="6"/>
  <c r="R78" i="6"/>
  <c r="P78" i="6"/>
  <c r="Q78" i="6" s="1"/>
  <c r="N78" i="6"/>
  <c r="M78" i="6"/>
  <c r="S77" i="6"/>
  <c r="R77" i="6"/>
  <c r="P77" i="6"/>
  <c r="Q77" i="6" s="1"/>
  <c r="N77" i="6"/>
  <c r="M77" i="6"/>
  <c r="S76" i="6"/>
  <c r="R76" i="6"/>
  <c r="P76" i="6"/>
  <c r="Q76" i="6" s="1"/>
  <c r="N76" i="6"/>
  <c r="M76" i="6"/>
  <c r="S75" i="6"/>
  <c r="R75" i="6"/>
  <c r="P75" i="6"/>
  <c r="Q75" i="6" s="1"/>
  <c r="N75" i="6"/>
  <c r="M75" i="6"/>
  <c r="S74" i="6"/>
  <c r="R74" i="6"/>
  <c r="P74" i="6"/>
  <c r="Q74" i="6" s="1"/>
  <c r="N74" i="6"/>
  <c r="M74" i="6"/>
  <c r="S73" i="6"/>
  <c r="R73" i="6"/>
  <c r="P73" i="6"/>
  <c r="Q73" i="6" s="1"/>
  <c r="N73" i="6"/>
  <c r="M73" i="6"/>
  <c r="S72" i="6"/>
  <c r="R72" i="6"/>
  <c r="P72" i="6"/>
  <c r="Q72" i="6" s="1"/>
  <c r="N72" i="6"/>
  <c r="M72" i="6"/>
  <c r="S71" i="6"/>
  <c r="R71" i="6"/>
  <c r="P71" i="6"/>
  <c r="Q71" i="6" s="1"/>
  <c r="N71" i="6"/>
  <c r="M71" i="6"/>
  <c r="S70" i="6"/>
  <c r="R70" i="6"/>
  <c r="P70" i="6"/>
  <c r="Q70" i="6" s="1"/>
  <c r="N70" i="6"/>
  <c r="M70" i="6"/>
  <c r="S69" i="6"/>
  <c r="R69" i="6"/>
  <c r="P69" i="6"/>
  <c r="Q69" i="6" s="1"/>
  <c r="N69" i="6"/>
  <c r="M69" i="6"/>
  <c r="S68" i="6"/>
  <c r="R68" i="6"/>
  <c r="P68" i="6"/>
  <c r="Q68" i="6" s="1"/>
  <c r="N68" i="6"/>
  <c r="M68" i="6"/>
  <c r="S67" i="6"/>
  <c r="R67" i="6"/>
  <c r="P67" i="6"/>
  <c r="Q67" i="6" s="1"/>
  <c r="N67" i="6"/>
  <c r="M67" i="6"/>
  <c r="S66" i="6"/>
  <c r="R66" i="6"/>
  <c r="P66" i="6"/>
  <c r="Q66" i="6" s="1"/>
  <c r="N66" i="6"/>
  <c r="M66" i="6"/>
  <c r="S65" i="6"/>
  <c r="R65" i="6"/>
  <c r="P65" i="6"/>
  <c r="Q65" i="6" s="1"/>
  <c r="N65" i="6"/>
  <c r="M65" i="6"/>
  <c r="S64" i="6"/>
  <c r="R64" i="6"/>
  <c r="P64" i="6"/>
  <c r="Q64" i="6" s="1"/>
  <c r="N64" i="6"/>
  <c r="M64" i="6"/>
  <c r="S63" i="6"/>
  <c r="R63" i="6"/>
  <c r="P63" i="6"/>
  <c r="Q63" i="6" s="1"/>
  <c r="N63" i="6"/>
  <c r="M63" i="6"/>
  <c r="S62" i="6"/>
  <c r="R62" i="6"/>
  <c r="P62" i="6"/>
  <c r="Q62" i="6" s="1"/>
  <c r="N62" i="6"/>
  <c r="M62" i="6"/>
  <c r="S61" i="6"/>
  <c r="R61" i="6"/>
  <c r="P61" i="6"/>
  <c r="Q61" i="6" s="1"/>
  <c r="N61" i="6"/>
  <c r="M61" i="6"/>
  <c r="S60" i="6"/>
  <c r="R60" i="6"/>
  <c r="P60" i="6"/>
  <c r="Q60" i="6" s="1"/>
  <c r="N60" i="6"/>
  <c r="M60" i="6"/>
  <c r="S59" i="6"/>
  <c r="R59" i="6"/>
  <c r="P59" i="6"/>
  <c r="Q59" i="6" s="1"/>
  <c r="N59" i="6"/>
  <c r="M59" i="6"/>
  <c r="S58" i="6"/>
  <c r="R58" i="6"/>
  <c r="P58" i="6"/>
  <c r="Q58" i="6" s="1"/>
  <c r="N58" i="6"/>
  <c r="M58" i="6"/>
  <c r="S57" i="6"/>
  <c r="R57" i="6"/>
  <c r="P57" i="6"/>
  <c r="Q57" i="6" s="1"/>
  <c r="N57" i="6"/>
  <c r="M57" i="6"/>
  <c r="S56" i="6"/>
  <c r="R56" i="6"/>
  <c r="P56" i="6"/>
  <c r="Q56" i="6" s="1"/>
  <c r="N56" i="6"/>
  <c r="M56" i="6"/>
  <c r="S55" i="6"/>
  <c r="R55" i="6"/>
  <c r="P55" i="6"/>
  <c r="Q55" i="6" s="1"/>
  <c r="N55" i="6"/>
  <c r="M55" i="6"/>
  <c r="S54" i="6"/>
  <c r="R54" i="6"/>
  <c r="P54" i="6"/>
  <c r="Q54" i="6" s="1"/>
  <c r="N54" i="6"/>
  <c r="M54" i="6"/>
  <c r="S53" i="6"/>
  <c r="R53" i="6"/>
  <c r="P53" i="6"/>
  <c r="Q53" i="6" s="1"/>
  <c r="N53" i="6"/>
  <c r="M53" i="6"/>
  <c r="S52" i="6"/>
  <c r="R52" i="6"/>
  <c r="P52" i="6"/>
  <c r="Q52" i="6" s="1"/>
  <c r="N52" i="6"/>
  <c r="M52" i="6"/>
  <c r="S51" i="6"/>
  <c r="R51" i="6"/>
  <c r="P51" i="6"/>
  <c r="Q51" i="6" s="1"/>
  <c r="N51" i="6"/>
  <c r="M51" i="6"/>
  <c r="S50" i="6"/>
  <c r="R50" i="6"/>
  <c r="P50" i="6"/>
  <c r="Q50" i="6" s="1"/>
  <c r="N50" i="6"/>
  <c r="M50" i="6"/>
  <c r="S49" i="6"/>
  <c r="R49" i="6"/>
  <c r="P49" i="6"/>
  <c r="Q49" i="6" s="1"/>
  <c r="N49" i="6"/>
  <c r="M49" i="6"/>
  <c r="S48" i="6"/>
  <c r="R48" i="6"/>
  <c r="P48" i="6"/>
  <c r="Q48" i="6" s="1"/>
  <c r="N48" i="6"/>
  <c r="M48" i="6"/>
  <c r="S47" i="6"/>
  <c r="R47" i="6"/>
  <c r="P47" i="6"/>
  <c r="Q47" i="6" s="1"/>
  <c r="N47" i="6"/>
  <c r="M47" i="6"/>
  <c r="S46" i="6"/>
  <c r="R46" i="6"/>
  <c r="P46" i="6"/>
  <c r="Q46" i="6" s="1"/>
  <c r="N46" i="6"/>
  <c r="M46" i="6"/>
  <c r="S45" i="6"/>
  <c r="R45" i="6"/>
  <c r="P45" i="6"/>
  <c r="Q45" i="6" s="1"/>
  <c r="N45" i="6"/>
  <c r="M45" i="6"/>
  <c r="S44" i="6"/>
  <c r="R44" i="6"/>
  <c r="P44" i="6"/>
  <c r="Q44" i="6" s="1"/>
  <c r="N44" i="6"/>
  <c r="M44" i="6"/>
  <c r="S43" i="6"/>
  <c r="R43" i="6"/>
  <c r="P43" i="6"/>
  <c r="Q43" i="6" s="1"/>
  <c r="N43" i="6"/>
  <c r="M43" i="6"/>
  <c r="S42" i="6"/>
  <c r="R42" i="6"/>
  <c r="P42" i="6"/>
  <c r="Q42" i="6" s="1"/>
  <c r="N42" i="6"/>
  <c r="M42" i="6"/>
  <c r="S41" i="6"/>
  <c r="R41" i="6"/>
  <c r="P41" i="6"/>
  <c r="Q41" i="6" s="1"/>
  <c r="N41" i="6"/>
  <c r="M41" i="6"/>
  <c r="S40" i="6"/>
  <c r="R40" i="6"/>
  <c r="P40" i="6"/>
  <c r="Q40" i="6" s="1"/>
  <c r="N40" i="6"/>
  <c r="M40" i="6"/>
  <c r="S39" i="6"/>
  <c r="R39" i="6"/>
  <c r="P39" i="6"/>
  <c r="Q39" i="6" s="1"/>
  <c r="N39" i="6"/>
  <c r="M39" i="6"/>
  <c r="S38" i="6"/>
  <c r="R38" i="6"/>
  <c r="P38" i="6"/>
  <c r="Q38" i="6" s="1"/>
  <c r="N38" i="6"/>
  <c r="M38" i="6"/>
  <c r="S37" i="6"/>
  <c r="R37" i="6"/>
  <c r="P37" i="6"/>
  <c r="Q37" i="6" s="1"/>
  <c r="N37" i="6"/>
  <c r="M37" i="6"/>
  <c r="S36" i="6"/>
  <c r="R36" i="6"/>
  <c r="P36" i="6"/>
  <c r="Q36" i="6" s="1"/>
  <c r="N36" i="6"/>
  <c r="M36" i="6"/>
  <c r="S35" i="6"/>
  <c r="R35" i="6"/>
  <c r="P35" i="6"/>
  <c r="Q35" i="6" s="1"/>
  <c r="N35" i="6"/>
  <c r="M35" i="6"/>
  <c r="S34" i="6"/>
  <c r="R34" i="6"/>
  <c r="P34" i="6"/>
  <c r="Q34" i="6" s="1"/>
  <c r="N34" i="6"/>
  <c r="M34" i="6"/>
  <c r="S33" i="6"/>
  <c r="R33" i="6"/>
  <c r="P33" i="6"/>
  <c r="Q33" i="6" s="1"/>
  <c r="N33" i="6"/>
  <c r="M33" i="6"/>
  <c r="S32" i="6"/>
  <c r="R32" i="6"/>
  <c r="P32" i="6"/>
  <c r="Q32" i="6" s="1"/>
  <c r="N32" i="6"/>
  <c r="M32" i="6"/>
  <c r="S31" i="6"/>
  <c r="R31" i="6"/>
  <c r="P31" i="6"/>
  <c r="Q31" i="6" s="1"/>
  <c r="N31" i="6"/>
  <c r="M31" i="6"/>
  <c r="S30" i="6"/>
  <c r="R30" i="6"/>
  <c r="P30" i="6"/>
  <c r="Q30" i="6" s="1"/>
  <c r="N30" i="6"/>
  <c r="M30" i="6"/>
  <c r="R29" i="6"/>
  <c r="P29" i="6"/>
  <c r="Q29" i="6" s="1"/>
  <c r="M29" i="6"/>
  <c r="R28" i="6"/>
  <c r="P28" i="6"/>
  <c r="Q28" i="6" s="1"/>
  <c r="M28" i="6"/>
  <c r="P27" i="6"/>
  <c r="Q27" i="6" s="1"/>
  <c r="R26" i="6"/>
  <c r="P26" i="6"/>
  <c r="Q26" i="6" s="1"/>
  <c r="M26" i="6"/>
  <c r="R25" i="6"/>
  <c r="P25" i="6"/>
  <c r="Q25" i="6" s="1"/>
  <c r="M25" i="6"/>
  <c r="R24" i="6"/>
  <c r="P24" i="6"/>
  <c r="Q24" i="6" s="1"/>
  <c r="M24" i="6"/>
  <c r="R23" i="6"/>
  <c r="P23" i="6"/>
  <c r="Q23" i="6" s="1"/>
  <c r="M23" i="6"/>
  <c r="R22" i="6"/>
  <c r="P22" i="6"/>
  <c r="Q22" i="6" s="1"/>
  <c r="M22" i="6"/>
  <c r="R21" i="6"/>
  <c r="P21" i="6"/>
  <c r="Q21" i="6" s="1"/>
  <c r="M21" i="6"/>
  <c r="R20" i="6"/>
  <c r="P20" i="6"/>
  <c r="Q20" i="6" s="1"/>
  <c r="M20" i="6"/>
  <c r="R19" i="6"/>
  <c r="P19" i="6"/>
  <c r="Q19" i="6" s="1"/>
  <c r="M19" i="6"/>
  <c r="R18" i="6"/>
  <c r="P18" i="6"/>
  <c r="Q18" i="6" s="1"/>
  <c r="M18" i="6"/>
  <c r="R17" i="6"/>
  <c r="P17" i="6"/>
  <c r="Q17" i="6" s="1"/>
  <c r="M17" i="6"/>
  <c r="R16" i="6"/>
  <c r="P16" i="6"/>
  <c r="Q16" i="6" s="1"/>
  <c r="M16" i="6"/>
  <c r="R15" i="6"/>
  <c r="P15" i="6"/>
  <c r="Q15" i="6" s="1"/>
  <c r="M15" i="6"/>
  <c r="R14" i="6"/>
  <c r="P14" i="6"/>
  <c r="Q14" i="6" s="1"/>
  <c r="M14" i="6"/>
  <c r="R13" i="6"/>
  <c r="P13" i="6"/>
  <c r="Q13" i="6" s="1"/>
  <c r="M13" i="6"/>
  <c r="R12" i="6"/>
  <c r="P12" i="6"/>
  <c r="Q12" i="6" s="1"/>
  <c r="M12" i="6"/>
  <c r="R11" i="6"/>
  <c r="P11" i="6"/>
  <c r="Q11" i="6" s="1"/>
  <c r="M11" i="6"/>
  <c r="R10" i="6"/>
  <c r="P10" i="6"/>
  <c r="Q10" i="6" s="1"/>
  <c r="M10" i="6"/>
  <c r="R9" i="6"/>
  <c r="P9" i="6"/>
  <c r="M9" i="6"/>
  <c r="X38" i="5"/>
  <c r="Y38" i="5" s="1"/>
  <c r="I38" i="5"/>
  <c r="X37" i="5"/>
  <c r="Y37" i="5" s="1"/>
  <c r="I37" i="5"/>
  <c r="X36" i="5"/>
  <c r="Y36" i="5" s="1"/>
  <c r="I36" i="5"/>
  <c r="X35" i="5"/>
  <c r="Y35" i="5" s="1"/>
  <c r="I35" i="5"/>
  <c r="X34" i="5"/>
  <c r="Y34" i="5" s="1"/>
  <c r="I34" i="5"/>
  <c r="X33" i="5"/>
  <c r="Y33" i="5" s="1"/>
  <c r="I33" i="5"/>
  <c r="X32" i="5"/>
  <c r="Y32" i="5" s="1"/>
  <c r="I32" i="5"/>
  <c r="X31" i="5"/>
  <c r="Y31" i="5" s="1"/>
  <c r="I31" i="5"/>
  <c r="X30" i="5"/>
  <c r="Y30" i="5" s="1"/>
  <c r="I30" i="5"/>
  <c r="X29" i="5"/>
  <c r="Y29" i="5" s="1"/>
  <c r="I29" i="5"/>
  <c r="X28" i="5"/>
  <c r="Y28" i="5" s="1"/>
  <c r="I28" i="5"/>
  <c r="X27" i="5"/>
  <c r="Y27" i="5" s="1"/>
  <c r="I27" i="5"/>
  <c r="X26" i="5"/>
  <c r="Y26" i="5" s="1"/>
  <c r="I26" i="5"/>
  <c r="X25" i="5"/>
  <c r="Y25" i="5" s="1"/>
  <c r="I25" i="5"/>
  <c r="X24" i="5"/>
  <c r="Y24" i="5" s="1"/>
  <c r="I24" i="5"/>
  <c r="X23" i="5"/>
  <c r="Y23" i="5" s="1"/>
  <c r="I23" i="5"/>
  <c r="X22" i="5"/>
  <c r="Y22" i="5" s="1"/>
  <c r="I22" i="5"/>
  <c r="X21" i="5"/>
  <c r="Y21" i="5" s="1"/>
  <c r="I21" i="5"/>
  <c r="X20" i="5"/>
  <c r="Y20" i="5" s="1"/>
  <c r="I20" i="5"/>
  <c r="X19" i="5"/>
  <c r="Y19" i="5" s="1"/>
  <c r="I19" i="5"/>
  <c r="X18" i="5"/>
  <c r="Y18" i="5" s="1"/>
  <c r="I18" i="5"/>
  <c r="X17" i="5"/>
  <c r="Y17" i="5" s="1"/>
  <c r="I17" i="5"/>
  <c r="X16" i="5"/>
  <c r="Y16" i="5" s="1"/>
  <c r="I16" i="5"/>
  <c r="X15" i="5"/>
  <c r="Y15" i="5" s="1"/>
  <c r="I15" i="5"/>
  <c r="X14" i="5"/>
  <c r="Y14" i="5" s="1"/>
  <c r="I14" i="5"/>
  <c r="X13" i="5"/>
  <c r="Y13" i="5" s="1"/>
  <c r="I13" i="5"/>
  <c r="X12" i="5"/>
  <c r="Y12" i="5" s="1"/>
  <c r="I12" i="5"/>
  <c r="X11" i="5"/>
  <c r="Y11" i="5" s="1"/>
  <c r="I11" i="5"/>
  <c r="X10" i="5"/>
  <c r="Y10" i="5" s="1"/>
  <c r="I10" i="5"/>
  <c r="X9" i="5"/>
  <c r="I9" i="5"/>
  <c r="V8" i="5"/>
  <c r="V8" i="8" s="1"/>
  <c r="U8" i="5"/>
  <c r="U8" i="8" s="1"/>
  <c r="T8" i="5"/>
  <c r="T8" i="8" s="1"/>
  <c r="S8" i="5"/>
  <c r="S8" i="8" s="1"/>
  <c r="R8" i="5"/>
  <c r="R8" i="8" s="1"/>
  <c r="Q8" i="5"/>
  <c r="Q8" i="8" s="1"/>
  <c r="P8" i="5"/>
  <c r="P8" i="8" s="1"/>
  <c r="O8" i="5"/>
  <c r="O8" i="8" s="1"/>
  <c r="N8" i="5"/>
  <c r="N8" i="8" s="1"/>
  <c r="M8" i="5"/>
  <c r="M8" i="8" s="1"/>
  <c r="L8" i="5"/>
  <c r="L8" i="8" s="1"/>
  <c r="K8" i="5"/>
  <c r="K8" i="8" s="1"/>
  <c r="C38" i="4"/>
  <c r="C37" i="4"/>
  <c r="C36" i="4"/>
  <c r="C35" i="4"/>
  <c r="C34" i="4"/>
  <c r="C33" i="4"/>
  <c r="C32" i="4"/>
  <c r="C31" i="4"/>
  <c r="C30" i="4"/>
  <c r="C29" i="4"/>
  <c r="C28" i="4"/>
  <c r="H28" i="4" s="1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Q8" i="4"/>
  <c r="P8" i="4"/>
  <c r="O8" i="4"/>
  <c r="N8" i="4"/>
  <c r="C368" i="3"/>
  <c r="C367" i="3"/>
  <c r="C366" i="3"/>
  <c r="C365" i="3"/>
  <c r="C364" i="3"/>
  <c r="C363" i="3"/>
  <c r="C362" i="3"/>
  <c r="C361" i="3"/>
  <c r="J360" i="3"/>
  <c r="C360" i="3"/>
  <c r="C359" i="3"/>
  <c r="C358" i="3"/>
  <c r="C357" i="3"/>
  <c r="F357" i="3" s="1"/>
  <c r="C356" i="3"/>
  <c r="C355" i="3"/>
  <c r="C354" i="3"/>
  <c r="C353" i="3"/>
  <c r="C352" i="3"/>
  <c r="C351" i="3"/>
  <c r="C350" i="3"/>
  <c r="C349" i="3"/>
  <c r="C348" i="3"/>
  <c r="C347" i="3"/>
  <c r="C346" i="3"/>
  <c r="C345" i="3"/>
  <c r="C344" i="3"/>
  <c r="C343" i="3"/>
  <c r="C342" i="3"/>
  <c r="C341" i="3"/>
  <c r="C340" i="3"/>
  <c r="C339" i="3"/>
  <c r="C338" i="3"/>
  <c r="C337" i="3"/>
  <c r="C336" i="3"/>
  <c r="C335" i="3"/>
  <c r="C334" i="3"/>
  <c r="C333" i="3"/>
  <c r="C332" i="3"/>
  <c r="C331" i="3"/>
  <c r="C330" i="3"/>
  <c r="C329" i="3"/>
  <c r="C328" i="3"/>
  <c r="C327" i="3"/>
  <c r="C326" i="3"/>
  <c r="C325" i="3"/>
  <c r="C324" i="3"/>
  <c r="C323" i="3"/>
  <c r="C322" i="3"/>
  <c r="C321" i="3"/>
  <c r="C320" i="3"/>
  <c r="C319" i="3"/>
  <c r="C318" i="3"/>
  <c r="C317" i="3"/>
  <c r="C316" i="3"/>
  <c r="C315" i="3"/>
  <c r="C314" i="3"/>
  <c r="C313" i="3"/>
  <c r="C312" i="3"/>
  <c r="I312" i="3" s="1"/>
  <c r="C311" i="3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4" i="3"/>
  <c r="C283" i="3"/>
  <c r="C282" i="3"/>
  <c r="C281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C264" i="3"/>
  <c r="C263" i="3"/>
  <c r="C262" i="3"/>
  <c r="C261" i="3"/>
  <c r="C260" i="3"/>
  <c r="H260" i="3" s="1"/>
  <c r="C259" i="3"/>
  <c r="C258" i="3"/>
  <c r="C257" i="3"/>
  <c r="C256" i="3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6" i="3"/>
  <c r="C215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D15" i="9" s="1"/>
  <c r="L46" i="2"/>
  <c r="K46" i="2"/>
  <c r="L45" i="2"/>
  <c r="K45" i="2"/>
  <c r="L44" i="2"/>
  <c r="K44" i="2"/>
  <c r="L43" i="2"/>
  <c r="K43" i="2"/>
  <c r="L42" i="2"/>
  <c r="K42" i="2"/>
  <c r="L41" i="2"/>
  <c r="K41" i="2"/>
  <c r="K40" i="2"/>
  <c r="L40" i="2" s="1"/>
  <c r="K39" i="2"/>
  <c r="L39" i="2" s="1"/>
  <c r="D14" i="9" s="1"/>
  <c r="K38" i="2"/>
  <c r="L38" i="2" s="1"/>
  <c r="L37" i="2"/>
  <c r="K37" i="2"/>
  <c r="L36" i="2"/>
  <c r="K36" i="2"/>
  <c r="L35" i="2"/>
  <c r="K35" i="2"/>
  <c r="J34" i="2"/>
  <c r="I34" i="2"/>
  <c r="H34" i="2"/>
  <c r="G34" i="2"/>
  <c r="S17" i="2"/>
  <c r="R17" i="2"/>
  <c r="Q17" i="2"/>
  <c r="P17" i="2"/>
  <c r="O17" i="2"/>
  <c r="N17" i="2"/>
  <c r="M17" i="2"/>
  <c r="L17" i="2"/>
  <c r="K17" i="2"/>
  <c r="J17" i="2"/>
  <c r="I17" i="2"/>
  <c r="H17" i="2"/>
  <c r="G10" i="2"/>
  <c r="G9" i="2"/>
  <c r="J38" i="1"/>
  <c r="J37" i="1"/>
  <c r="J36" i="1"/>
  <c r="J35" i="1"/>
  <c r="E3" i="1"/>
  <c r="N241" i="3" l="1"/>
  <c r="H241" i="3"/>
  <c r="J241" i="3"/>
  <c r="L241" i="3"/>
  <c r="M241" i="3" s="1"/>
  <c r="K241" i="3"/>
  <c r="I241" i="3"/>
  <c r="O73" i="6"/>
  <c r="O61" i="6"/>
  <c r="O90" i="6"/>
  <c r="O86" i="6"/>
  <c r="O107" i="6"/>
  <c r="O105" i="6"/>
  <c r="O104" i="6"/>
  <c r="O103" i="6"/>
  <c r="O89" i="6"/>
  <c r="O84" i="6"/>
  <c r="O83" i="6"/>
  <c r="O78" i="6"/>
  <c r="O76" i="6"/>
  <c r="O68" i="6"/>
  <c r="O65" i="6"/>
  <c r="C5" i="1"/>
  <c r="O88" i="6"/>
  <c r="O81" i="6"/>
  <c r="O79" i="6"/>
  <c r="O74" i="6"/>
  <c r="O70" i="6"/>
  <c r="O67" i="6"/>
  <c r="O64" i="6"/>
  <c r="O60" i="6"/>
  <c r="O59" i="6"/>
  <c r="O97" i="6"/>
  <c r="O96" i="6"/>
  <c r="O92" i="6"/>
  <c r="O87" i="6"/>
  <c r="O85" i="6"/>
  <c r="O82" i="6"/>
  <c r="O75" i="6"/>
  <c r="O72" i="6"/>
  <c r="O63" i="6"/>
  <c r="O108" i="6"/>
  <c r="O106" i="6"/>
  <c r="O102" i="6"/>
  <c r="O101" i="6"/>
  <c r="O100" i="6"/>
  <c r="O99" i="6"/>
  <c r="O98" i="6"/>
  <c r="O95" i="6"/>
  <c r="O94" i="6"/>
  <c r="O93" i="6"/>
  <c r="O91" i="6"/>
  <c r="O71" i="6"/>
  <c r="O66" i="6"/>
  <c r="O62" i="6"/>
  <c r="O69" i="6"/>
  <c r="O80" i="6"/>
  <c r="O58" i="6"/>
  <c r="O57" i="6"/>
  <c r="O56" i="6"/>
  <c r="O55" i="6"/>
  <c r="O54" i="6"/>
  <c r="O53" i="6"/>
  <c r="O77" i="6"/>
  <c r="O51" i="6"/>
  <c r="O50" i="6"/>
  <c r="O49" i="6"/>
  <c r="O48" i="6"/>
  <c r="O47" i="6"/>
  <c r="O46" i="6"/>
  <c r="O45" i="6"/>
  <c r="O44" i="6"/>
  <c r="O43" i="6"/>
  <c r="O42" i="6"/>
  <c r="O41" i="6"/>
  <c r="O52" i="6"/>
  <c r="O39" i="6"/>
  <c r="O38" i="6"/>
  <c r="O37" i="6"/>
  <c r="O36" i="6"/>
  <c r="O35" i="6"/>
  <c r="O34" i="6"/>
  <c r="O33" i="6"/>
  <c r="O32" i="6"/>
  <c r="O31" i="6"/>
  <c r="O30" i="6"/>
  <c r="R27" i="6"/>
  <c r="G37" i="1" s="1"/>
  <c r="O40" i="6"/>
  <c r="I4" i="1"/>
  <c r="D4" i="5"/>
  <c r="D4" i="6"/>
  <c r="D4" i="4"/>
  <c r="D4" i="2"/>
  <c r="D4" i="7"/>
  <c r="D13" i="9"/>
  <c r="G9" i="8"/>
  <c r="Q39" i="7"/>
  <c r="M27" i="6"/>
  <c r="Q9" i="7"/>
  <c r="D24" i="9"/>
  <c r="P9" i="7"/>
  <c r="D11" i="9"/>
  <c r="S29" i="6"/>
  <c r="N29" i="6"/>
  <c r="O29" i="6" s="1"/>
  <c r="S28" i="6"/>
  <c r="N28" i="6"/>
  <c r="O28" i="6" s="1"/>
  <c r="N26" i="6"/>
  <c r="O26" i="6" s="1"/>
  <c r="S26" i="6"/>
  <c r="S25" i="6"/>
  <c r="N25" i="6"/>
  <c r="O25" i="6" s="1"/>
  <c r="S24" i="6"/>
  <c r="N24" i="6"/>
  <c r="O24" i="6" s="1"/>
  <c r="N23" i="6"/>
  <c r="O23" i="6" s="1"/>
  <c r="S23" i="6"/>
  <c r="S22" i="6"/>
  <c r="N22" i="6"/>
  <c r="O22" i="6" s="1"/>
  <c r="N21" i="6"/>
  <c r="O21" i="6" s="1"/>
  <c r="S21" i="6"/>
  <c r="N20" i="6"/>
  <c r="O20" i="6" s="1"/>
  <c r="S20" i="6"/>
  <c r="N19" i="6"/>
  <c r="O19" i="6" s="1"/>
  <c r="S19" i="6"/>
  <c r="S18" i="6"/>
  <c r="N18" i="6"/>
  <c r="O18" i="6" s="1"/>
  <c r="S17" i="6"/>
  <c r="N17" i="6"/>
  <c r="O17" i="6" s="1"/>
  <c r="N16" i="6"/>
  <c r="O16" i="6" s="1"/>
  <c r="S16" i="6"/>
  <c r="N15" i="6"/>
  <c r="O15" i="6" s="1"/>
  <c r="S15" i="6"/>
  <c r="N14" i="6"/>
  <c r="O14" i="6" s="1"/>
  <c r="S14" i="6"/>
  <c r="S13" i="6"/>
  <c r="N13" i="6"/>
  <c r="O13" i="6" s="1"/>
  <c r="S12" i="6"/>
  <c r="N12" i="6"/>
  <c r="O12" i="6" s="1"/>
  <c r="N11" i="6"/>
  <c r="O11" i="6" s="1"/>
  <c r="H54" i="3" s="1"/>
  <c r="S11" i="6"/>
  <c r="S10" i="6"/>
  <c r="N10" i="6"/>
  <c r="O10" i="6" s="1"/>
  <c r="Q9" i="6"/>
  <c r="D12" i="9"/>
  <c r="N9" i="6"/>
  <c r="O9" i="6" s="1"/>
  <c r="S9" i="6"/>
  <c r="I5" i="3"/>
  <c r="D10" i="9"/>
  <c r="Y9" i="5"/>
  <c r="E38" i="4"/>
  <c r="G38" i="4"/>
  <c r="H38" i="4"/>
  <c r="K38" i="4"/>
  <c r="D38" i="4"/>
  <c r="J38" i="4"/>
  <c r="M38" i="4"/>
  <c r="F38" i="4"/>
  <c r="L38" i="4"/>
  <c r="K37" i="4"/>
  <c r="E37" i="4"/>
  <c r="M37" i="4"/>
  <c r="G37" i="4"/>
  <c r="D37" i="4"/>
  <c r="F37" i="4"/>
  <c r="L37" i="4"/>
  <c r="H37" i="4"/>
  <c r="J37" i="4"/>
  <c r="H36" i="4"/>
  <c r="F36" i="4"/>
  <c r="K36" i="4"/>
  <c r="E36" i="4"/>
  <c r="J36" i="4"/>
  <c r="L36" i="4"/>
  <c r="G36" i="4"/>
  <c r="M36" i="4"/>
  <c r="D36" i="4"/>
  <c r="F35" i="4"/>
  <c r="K35" i="4"/>
  <c r="J35" i="4"/>
  <c r="H35" i="4"/>
  <c r="G35" i="4"/>
  <c r="M35" i="4"/>
  <c r="D35" i="4"/>
  <c r="L35" i="4"/>
  <c r="E35" i="4"/>
  <c r="K34" i="4"/>
  <c r="L34" i="4"/>
  <c r="F34" i="4"/>
  <c r="M34" i="4"/>
  <c r="G34" i="4"/>
  <c r="E34" i="4"/>
  <c r="J34" i="4"/>
  <c r="D34" i="4"/>
  <c r="H34" i="4"/>
  <c r="F33" i="4"/>
  <c r="L33" i="4"/>
  <c r="G33" i="4"/>
  <c r="K33" i="4"/>
  <c r="M33" i="4"/>
  <c r="H33" i="4"/>
  <c r="E33" i="4"/>
  <c r="J33" i="4"/>
  <c r="D33" i="4"/>
  <c r="H32" i="4"/>
  <c r="D32" i="4"/>
  <c r="M32" i="4"/>
  <c r="E32" i="4"/>
  <c r="K32" i="4"/>
  <c r="J32" i="4"/>
  <c r="F32" i="4"/>
  <c r="L32" i="4"/>
  <c r="G32" i="4"/>
  <c r="J31" i="4"/>
  <c r="M31" i="4"/>
  <c r="F31" i="4"/>
  <c r="K31" i="4"/>
  <c r="L31" i="4"/>
  <c r="G31" i="4"/>
  <c r="D31" i="4"/>
  <c r="H31" i="4"/>
  <c r="E31" i="4"/>
  <c r="M30" i="4"/>
  <c r="F30" i="4"/>
  <c r="J30" i="4"/>
  <c r="K30" i="4"/>
  <c r="E30" i="4"/>
  <c r="D30" i="4"/>
  <c r="H30" i="4"/>
  <c r="L30" i="4"/>
  <c r="G30" i="4"/>
  <c r="K29" i="4"/>
  <c r="G29" i="4"/>
  <c r="H29" i="4"/>
  <c r="D29" i="4"/>
  <c r="F29" i="4"/>
  <c r="L29" i="4"/>
  <c r="M29" i="4"/>
  <c r="J29" i="4"/>
  <c r="E29" i="4"/>
  <c r="E28" i="4"/>
  <c r="D28" i="4"/>
  <c r="L28" i="4"/>
  <c r="F28" i="4"/>
  <c r="G28" i="4"/>
  <c r="J28" i="4"/>
  <c r="M28" i="4"/>
  <c r="K28" i="4"/>
  <c r="F27" i="4"/>
  <c r="G27" i="4"/>
  <c r="M27" i="4"/>
  <c r="E27" i="4"/>
  <c r="L27" i="4"/>
  <c r="D27" i="4"/>
  <c r="J27" i="4"/>
  <c r="H27" i="4"/>
  <c r="K27" i="4"/>
  <c r="E26" i="4"/>
  <c r="J26" i="4"/>
  <c r="D26" i="4"/>
  <c r="H26" i="4"/>
  <c r="M26" i="4"/>
  <c r="G26" i="4"/>
  <c r="L26" i="4"/>
  <c r="K26" i="4"/>
  <c r="F26" i="4"/>
  <c r="D25" i="4"/>
  <c r="E25" i="4"/>
  <c r="G25" i="4"/>
  <c r="M25" i="4"/>
  <c r="F25" i="4"/>
  <c r="H25" i="4"/>
  <c r="J25" i="4"/>
  <c r="L25" i="4"/>
  <c r="K25" i="4"/>
  <c r="D24" i="4"/>
  <c r="L24" i="4"/>
  <c r="E24" i="4"/>
  <c r="J24" i="4"/>
  <c r="K24" i="4"/>
  <c r="F24" i="4"/>
  <c r="G24" i="4"/>
  <c r="H24" i="4"/>
  <c r="M24" i="4"/>
  <c r="E23" i="4"/>
  <c r="L23" i="4"/>
  <c r="G23" i="4"/>
  <c r="H23" i="4"/>
  <c r="D23" i="4"/>
  <c r="F23" i="4"/>
  <c r="K23" i="4"/>
  <c r="M23" i="4"/>
  <c r="J23" i="4"/>
  <c r="L22" i="4"/>
  <c r="D22" i="4"/>
  <c r="H22" i="4"/>
  <c r="K22" i="4"/>
  <c r="M22" i="4"/>
  <c r="E22" i="4"/>
  <c r="J22" i="4"/>
  <c r="F22" i="4"/>
  <c r="G22" i="4"/>
  <c r="E21" i="4"/>
  <c r="L21" i="4"/>
  <c r="D21" i="4"/>
  <c r="J21" i="4"/>
  <c r="H21" i="4"/>
  <c r="K21" i="4"/>
  <c r="G21" i="4"/>
  <c r="M21" i="4"/>
  <c r="F21" i="4"/>
  <c r="E20" i="4"/>
  <c r="M20" i="4"/>
  <c r="H20" i="4"/>
  <c r="K20" i="4"/>
  <c r="D20" i="4"/>
  <c r="J20" i="4"/>
  <c r="F20" i="4"/>
  <c r="D19" i="4"/>
  <c r="E19" i="4"/>
  <c r="L19" i="4" s="1"/>
  <c r="J19" i="4"/>
  <c r="F19" i="4"/>
  <c r="K19" i="4"/>
  <c r="H19" i="4"/>
  <c r="G19" i="4"/>
  <c r="M19" i="4"/>
  <c r="H18" i="4"/>
  <c r="E18" i="4"/>
  <c r="M18" i="4"/>
  <c r="G18" i="4"/>
  <c r="D18" i="4"/>
  <c r="K18" i="4"/>
  <c r="J18" i="4"/>
  <c r="L18" i="4"/>
  <c r="F18" i="4"/>
  <c r="H17" i="4"/>
  <c r="D17" i="4"/>
  <c r="E17" i="4"/>
  <c r="G17" i="4"/>
  <c r="H16" i="4"/>
  <c r="E16" i="4"/>
  <c r="F16" i="4" s="1"/>
  <c r="L16" i="4"/>
  <c r="M16" i="4"/>
  <c r="K16" i="4"/>
  <c r="G16" i="4"/>
  <c r="D16" i="4"/>
  <c r="J16" i="4"/>
  <c r="D15" i="4"/>
  <c r="E15" i="4"/>
  <c r="L15" i="4"/>
  <c r="F15" i="4"/>
  <c r="H15" i="4"/>
  <c r="M15" i="4"/>
  <c r="E14" i="4"/>
  <c r="D14" i="4"/>
  <c r="K14" i="4"/>
  <c r="G14" i="4"/>
  <c r="J14" i="4"/>
  <c r="M14" i="4"/>
  <c r="F14" i="4"/>
  <c r="L14" i="4"/>
  <c r="H14" i="4"/>
  <c r="D13" i="4"/>
  <c r="E13" i="4"/>
  <c r="J13" i="4"/>
  <c r="H13" i="4"/>
  <c r="M13" i="4"/>
  <c r="F13" i="4"/>
  <c r="E12" i="4"/>
  <c r="G12" i="4"/>
  <c r="F12" i="4"/>
  <c r="L12" i="4"/>
  <c r="J12" i="4"/>
  <c r="H12" i="4"/>
  <c r="D12" i="4"/>
  <c r="K12" i="4"/>
  <c r="M12" i="4"/>
  <c r="D11" i="4"/>
  <c r="E11" i="4"/>
  <c r="H11" i="4"/>
  <c r="L11" i="4"/>
  <c r="E10" i="4"/>
  <c r="F10" i="4"/>
  <c r="J10" i="4"/>
  <c r="D10" i="4"/>
  <c r="H10" i="4"/>
  <c r="K10" i="4"/>
  <c r="G10" i="4"/>
  <c r="E9" i="4"/>
  <c r="H9" i="4"/>
  <c r="M9" i="4"/>
  <c r="D9" i="4"/>
  <c r="G9" i="4"/>
  <c r="E368" i="3"/>
  <c r="I368" i="3"/>
  <c r="F368" i="3"/>
  <c r="G368" i="3"/>
  <c r="N368" i="3"/>
  <c r="L368" i="3"/>
  <c r="D368" i="3"/>
  <c r="H368" i="3"/>
  <c r="K368" i="3"/>
  <c r="M368" i="3"/>
  <c r="J368" i="3"/>
  <c r="K367" i="3"/>
  <c r="F367" i="3"/>
  <c r="L367" i="3"/>
  <c r="H367" i="3"/>
  <c r="D367" i="3"/>
  <c r="G367" i="3"/>
  <c r="I367" i="3"/>
  <c r="M367" i="3"/>
  <c r="E367" i="3"/>
  <c r="J367" i="3"/>
  <c r="N367" i="3"/>
  <c r="E366" i="3"/>
  <c r="I366" i="3"/>
  <c r="L366" i="3"/>
  <c r="K366" i="3"/>
  <c r="N366" i="3"/>
  <c r="G366" i="3"/>
  <c r="J366" i="3"/>
  <c r="M366" i="3"/>
  <c r="H366" i="3"/>
  <c r="D366" i="3"/>
  <c r="F366" i="3"/>
  <c r="D365" i="3"/>
  <c r="N365" i="3"/>
  <c r="L365" i="3"/>
  <c r="K365" i="3"/>
  <c r="F365" i="3"/>
  <c r="I365" i="3"/>
  <c r="M365" i="3"/>
  <c r="E365" i="3"/>
  <c r="J365" i="3"/>
  <c r="H365" i="3"/>
  <c r="G365" i="3"/>
  <c r="K364" i="3"/>
  <c r="I364" i="3"/>
  <c r="E364" i="3"/>
  <c r="L364" i="3"/>
  <c r="G364" i="3"/>
  <c r="H364" i="3"/>
  <c r="D364" i="3"/>
  <c r="M364" i="3"/>
  <c r="F364" i="3"/>
  <c r="J364" i="3"/>
  <c r="N364" i="3"/>
  <c r="G363" i="3"/>
  <c r="D363" i="3"/>
  <c r="I363" i="3"/>
  <c r="F363" i="3"/>
  <c r="H363" i="3"/>
  <c r="J363" i="3"/>
  <c r="K363" i="3"/>
  <c r="N363" i="3"/>
  <c r="L363" i="3"/>
  <c r="M363" i="3" s="1"/>
  <c r="E363" i="3"/>
  <c r="G362" i="3"/>
  <c r="I362" i="3"/>
  <c r="D362" i="3"/>
  <c r="N362" i="3"/>
  <c r="H362" i="3"/>
  <c r="K362" i="3"/>
  <c r="E362" i="3"/>
  <c r="L362" i="3"/>
  <c r="M362" i="3" s="1"/>
  <c r="J362" i="3"/>
  <c r="F362" i="3"/>
  <c r="I361" i="3"/>
  <c r="K361" i="3"/>
  <c r="G361" i="3"/>
  <c r="D361" i="3"/>
  <c r="H361" i="3"/>
  <c r="F361" i="3"/>
  <c r="L361" i="3"/>
  <c r="E361" i="3"/>
  <c r="J361" i="3"/>
  <c r="M361" i="3"/>
  <c r="N361" i="3"/>
  <c r="F360" i="3"/>
  <c r="N360" i="3"/>
  <c r="K360" i="3"/>
  <c r="H360" i="3"/>
  <c r="E360" i="3"/>
  <c r="D360" i="3"/>
  <c r="L360" i="3"/>
  <c r="M360" i="3" s="1"/>
  <c r="I360" i="3"/>
  <c r="G360" i="3"/>
  <c r="I359" i="3"/>
  <c r="D359" i="3"/>
  <c r="K359" i="3"/>
  <c r="H359" i="3"/>
  <c r="F359" i="3"/>
  <c r="N359" i="3"/>
  <c r="E359" i="3"/>
  <c r="G359" i="3"/>
  <c r="J359" i="3"/>
  <c r="L359" i="3"/>
  <c r="M359" i="3"/>
  <c r="L358" i="3"/>
  <c r="N358" i="3"/>
  <c r="M358" i="3"/>
  <c r="G358" i="3"/>
  <c r="I358" i="3"/>
  <c r="E358" i="3"/>
  <c r="F358" i="3"/>
  <c r="D358" i="3"/>
  <c r="H358" i="3"/>
  <c r="J358" i="3"/>
  <c r="K358" i="3"/>
  <c r="K357" i="3"/>
  <c r="J357" i="3"/>
  <c r="N357" i="3"/>
  <c r="L357" i="3"/>
  <c r="M357" i="3" s="1"/>
  <c r="D357" i="3"/>
  <c r="H357" i="3"/>
  <c r="G357" i="3"/>
  <c r="I357" i="3"/>
  <c r="E357" i="3"/>
  <c r="F356" i="3"/>
  <c r="N356" i="3"/>
  <c r="H356" i="3"/>
  <c r="E356" i="3"/>
  <c r="G356" i="3"/>
  <c r="I356" i="3"/>
  <c r="K356" i="3"/>
  <c r="D356" i="3"/>
  <c r="J356" i="3"/>
  <c r="L356" i="3"/>
  <c r="M356" i="3" s="1"/>
  <c r="K355" i="3"/>
  <c r="J355" i="3"/>
  <c r="H355" i="3"/>
  <c r="D355" i="3"/>
  <c r="I355" i="3"/>
  <c r="N355" i="3"/>
  <c r="F355" i="3"/>
  <c r="L355" i="3"/>
  <c r="M355" i="3" s="1"/>
  <c r="G355" i="3"/>
  <c r="E355" i="3"/>
  <c r="I354" i="3"/>
  <c r="F354" i="3"/>
  <c r="E354" i="3"/>
  <c r="D354" i="3"/>
  <c r="J354" i="3"/>
  <c r="G354" i="3"/>
  <c r="H354" i="3"/>
  <c r="N354" i="3"/>
  <c r="L354" i="3"/>
  <c r="M354" i="3"/>
  <c r="K354" i="3"/>
  <c r="J353" i="3"/>
  <c r="F353" i="3"/>
  <c r="I353" i="3"/>
  <c r="L353" i="3"/>
  <c r="M353" i="3"/>
  <c r="E353" i="3"/>
  <c r="H353" i="3"/>
  <c r="G353" i="3"/>
  <c r="K353" i="3"/>
  <c r="N353" i="3"/>
  <c r="D353" i="3"/>
  <c r="N352" i="3"/>
  <c r="L352" i="3"/>
  <c r="J352" i="3"/>
  <c r="F352" i="3"/>
  <c r="I352" i="3"/>
  <c r="K352" i="3"/>
  <c r="G352" i="3"/>
  <c r="D352" i="3"/>
  <c r="M352" i="3"/>
  <c r="H352" i="3"/>
  <c r="E352" i="3"/>
  <c r="H351" i="3"/>
  <c r="J351" i="3"/>
  <c r="L351" i="3"/>
  <c r="M351" i="3" s="1"/>
  <c r="D351" i="3"/>
  <c r="F351" i="3"/>
  <c r="N351" i="3"/>
  <c r="K351" i="3"/>
  <c r="E351" i="3"/>
  <c r="G351" i="3"/>
  <c r="I351" i="3"/>
  <c r="G350" i="3"/>
  <c r="D350" i="3"/>
  <c r="F350" i="3"/>
  <c r="J350" i="3"/>
  <c r="H350" i="3"/>
  <c r="L350" i="3"/>
  <c r="N350" i="3"/>
  <c r="I350" i="3"/>
  <c r="K350" i="3"/>
  <c r="M350" i="3"/>
  <c r="E350" i="3"/>
  <c r="H349" i="3"/>
  <c r="J349" i="3"/>
  <c r="G349" i="3"/>
  <c r="N349" i="3"/>
  <c r="D349" i="3"/>
  <c r="E349" i="3"/>
  <c r="I349" i="3"/>
  <c r="F349" i="3"/>
  <c r="K349" i="3"/>
  <c r="L349" i="3"/>
  <c r="M349" i="3" s="1"/>
  <c r="F348" i="3"/>
  <c r="D348" i="3"/>
  <c r="G348" i="3"/>
  <c r="K348" i="3"/>
  <c r="N348" i="3"/>
  <c r="L348" i="3"/>
  <c r="E348" i="3"/>
  <c r="J348" i="3"/>
  <c r="H348" i="3"/>
  <c r="M348" i="3"/>
  <c r="I348" i="3"/>
  <c r="N347" i="3"/>
  <c r="H347" i="3"/>
  <c r="K347" i="3"/>
  <c r="J347" i="3"/>
  <c r="G347" i="3"/>
  <c r="E347" i="3"/>
  <c r="F347" i="3"/>
  <c r="L347" i="3"/>
  <c r="M347" i="3"/>
  <c r="I347" i="3"/>
  <c r="D347" i="3"/>
  <c r="F346" i="3"/>
  <c r="L346" i="3"/>
  <c r="H346" i="3"/>
  <c r="D346" i="3"/>
  <c r="M346" i="3"/>
  <c r="G346" i="3"/>
  <c r="N346" i="3"/>
  <c r="I346" i="3"/>
  <c r="K346" i="3"/>
  <c r="E346" i="3"/>
  <c r="J346" i="3"/>
  <c r="H345" i="3"/>
  <c r="G345" i="3"/>
  <c r="J345" i="3"/>
  <c r="E345" i="3"/>
  <c r="D345" i="3"/>
  <c r="F345" i="3"/>
  <c r="I345" i="3"/>
  <c r="L345" i="3"/>
  <c r="M345" i="3" s="1"/>
  <c r="N345" i="3"/>
  <c r="K345" i="3"/>
  <c r="K344" i="3"/>
  <c r="D344" i="3"/>
  <c r="L344" i="3"/>
  <c r="I344" i="3"/>
  <c r="F344" i="3"/>
  <c r="H344" i="3"/>
  <c r="N344" i="3"/>
  <c r="M344" i="3"/>
  <c r="J344" i="3"/>
  <c r="G344" i="3"/>
  <c r="E344" i="3"/>
  <c r="D343" i="3"/>
  <c r="I343" i="3"/>
  <c r="J343" i="3"/>
  <c r="E343" i="3"/>
  <c r="L343" i="3"/>
  <c r="M343" i="3" s="1"/>
  <c r="G343" i="3"/>
  <c r="F343" i="3"/>
  <c r="K343" i="3"/>
  <c r="N343" i="3"/>
  <c r="H343" i="3"/>
  <c r="N342" i="3"/>
  <c r="K342" i="3"/>
  <c r="I342" i="3"/>
  <c r="F342" i="3"/>
  <c r="L342" i="3"/>
  <c r="M342" i="3" s="1"/>
  <c r="J342" i="3"/>
  <c r="D342" i="3"/>
  <c r="G342" i="3"/>
  <c r="H342" i="3"/>
  <c r="E342" i="3"/>
  <c r="K341" i="3"/>
  <c r="D341" i="3"/>
  <c r="G341" i="3"/>
  <c r="L341" i="3"/>
  <c r="M341" i="3" s="1"/>
  <c r="H341" i="3"/>
  <c r="E341" i="3"/>
  <c r="J341" i="3"/>
  <c r="N341" i="3"/>
  <c r="F341" i="3"/>
  <c r="I341" i="3"/>
  <c r="D340" i="3"/>
  <c r="E340" i="3"/>
  <c r="I340" i="3"/>
  <c r="K340" i="3"/>
  <c r="G340" i="3"/>
  <c r="F340" i="3"/>
  <c r="H340" i="3"/>
  <c r="J340" i="3"/>
  <c r="L340" i="3"/>
  <c r="M340" i="3" s="1"/>
  <c r="N340" i="3"/>
  <c r="H339" i="3"/>
  <c r="N339" i="3"/>
  <c r="D339" i="3"/>
  <c r="F339" i="3"/>
  <c r="G339" i="3"/>
  <c r="J339" i="3"/>
  <c r="L339" i="3"/>
  <c r="M339" i="3" s="1"/>
  <c r="I339" i="3"/>
  <c r="K339" i="3"/>
  <c r="E339" i="3"/>
  <c r="D338" i="3"/>
  <c r="I338" i="3"/>
  <c r="H338" i="3"/>
  <c r="J338" i="3"/>
  <c r="L338" i="3"/>
  <c r="M338" i="3" s="1"/>
  <c r="N338" i="3"/>
  <c r="K338" i="3"/>
  <c r="F338" i="3"/>
  <c r="E338" i="3"/>
  <c r="G338" i="3"/>
  <c r="L337" i="3"/>
  <c r="H337" i="3"/>
  <c r="D337" i="3"/>
  <c r="J337" i="3"/>
  <c r="I337" i="3"/>
  <c r="M337" i="3"/>
  <c r="N337" i="3"/>
  <c r="K337" i="3"/>
  <c r="E337" i="3"/>
  <c r="F337" i="3"/>
  <c r="G337" i="3"/>
  <c r="N336" i="3"/>
  <c r="H336" i="3"/>
  <c r="E336" i="3"/>
  <c r="J336" i="3"/>
  <c r="L336" i="3"/>
  <c r="F336" i="3"/>
  <c r="D336" i="3"/>
  <c r="I336" i="3"/>
  <c r="M336" i="3"/>
  <c r="K336" i="3"/>
  <c r="G336" i="3"/>
  <c r="K335" i="3"/>
  <c r="N335" i="3"/>
  <c r="I335" i="3"/>
  <c r="L335" i="3"/>
  <c r="M335" i="3"/>
  <c r="E335" i="3"/>
  <c r="D335" i="3"/>
  <c r="H335" i="3"/>
  <c r="G335" i="3"/>
  <c r="J335" i="3"/>
  <c r="F335" i="3"/>
  <c r="F334" i="3"/>
  <c r="L334" i="3"/>
  <c r="K334" i="3"/>
  <c r="M334" i="3"/>
  <c r="D334" i="3"/>
  <c r="H334" i="3"/>
  <c r="G334" i="3"/>
  <c r="I334" i="3"/>
  <c r="N334" i="3"/>
  <c r="J334" i="3"/>
  <c r="E334" i="3"/>
  <c r="G333" i="3"/>
  <c r="H333" i="3"/>
  <c r="N333" i="3"/>
  <c r="D333" i="3"/>
  <c r="I333" i="3"/>
  <c r="J333" i="3"/>
  <c r="E333" i="3"/>
  <c r="K333" i="3"/>
  <c r="L333" i="3"/>
  <c r="M333" i="3" s="1"/>
  <c r="F333" i="3"/>
  <c r="N332" i="3"/>
  <c r="G332" i="3"/>
  <c r="K332" i="3"/>
  <c r="D332" i="3"/>
  <c r="L332" i="3"/>
  <c r="H332" i="3"/>
  <c r="F332" i="3"/>
  <c r="J332" i="3"/>
  <c r="M332" i="3"/>
  <c r="I332" i="3"/>
  <c r="E332" i="3"/>
  <c r="D331" i="3"/>
  <c r="J331" i="3"/>
  <c r="N331" i="3"/>
  <c r="I331" i="3"/>
  <c r="E331" i="3"/>
  <c r="F331" i="3"/>
  <c r="L331" i="3"/>
  <c r="G331" i="3"/>
  <c r="M331" i="3"/>
  <c r="K331" i="3"/>
  <c r="H331" i="3"/>
  <c r="G330" i="3"/>
  <c r="E330" i="3"/>
  <c r="K330" i="3"/>
  <c r="J330" i="3"/>
  <c r="F330" i="3"/>
  <c r="I330" i="3"/>
  <c r="L330" i="3"/>
  <c r="M330" i="3" s="1"/>
  <c r="D330" i="3"/>
  <c r="H330" i="3"/>
  <c r="N330" i="3"/>
  <c r="G329" i="3"/>
  <c r="H329" i="3"/>
  <c r="L329" i="3"/>
  <c r="I329" i="3"/>
  <c r="D329" i="3"/>
  <c r="F329" i="3"/>
  <c r="E329" i="3"/>
  <c r="M329" i="3"/>
  <c r="J329" i="3"/>
  <c r="K329" i="3"/>
  <c r="N329" i="3"/>
  <c r="H328" i="3"/>
  <c r="D328" i="3"/>
  <c r="I328" i="3"/>
  <c r="N328" i="3"/>
  <c r="G328" i="3"/>
  <c r="K328" i="3"/>
  <c r="J328" i="3"/>
  <c r="F328" i="3"/>
  <c r="E328" i="3"/>
  <c r="L328" i="3"/>
  <c r="M328" i="3"/>
  <c r="I327" i="3"/>
  <c r="K327" i="3"/>
  <c r="G327" i="3"/>
  <c r="E327" i="3"/>
  <c r="L327" i="3"/>
  <c r="F327" i="3"/>
  <c r="J327" i="3"/>
  <c r="D327" i="3"/>
  <c r="H327" i="3"/>
  <c r="M327" i="3"/>
  <c r="N327" i="3"/>
  <c r="J326" i="3"/>
  <c r="K326" i="3"/>
  <c r="L326" i="3"/>
  <c r="M326" i="3" s="1"/>
  <c r="F326" i="3"/>
  <c r="E326" i="3"/>
  <c r="D326" i="3"/>
  <c r="G326" i="3"/>
  <c r="N326" i="3"/>
  <c r="I326" i="3"/>
  <c r="H326" i="3"/>
  <c r="N325" i="3"/>
  <c r="L325" i="3"/>
  <c r="F325" i="3"/>
  <c r="M325" i="3"/>
  <c r="H325" i="3"/>
  <c r="E325" i="3"/>
  <c r="J325" i="3"/>
  <c r="I325" i="3"/>
  <c r="D325" i="3"/>
  <c r="G325" i="3"/>
  <c r="K325" i="3"/>
  <c r="K324" i="3"/>
  <c r="E324" i="3"/>
  <c r="N324" i="3"/>
  <c r="D324" i="3"/>
  <c r="H324" i="3"/>
  <c r="F324" i="3"/>
  <c r="J324" i="3"/>
  <c r="I324" i="3"/>
  <c r="L324" i="3"/>
  <c r="M324" i="3" s="1"/>
  <c r="G324" i="3"/>
  <c r="G323" i="3"/>
  <c r="K323" i="3"/>
  <c r="I323" i="3"/>
  <c r="F323" i="3"/>
  <c r="J323" i="3"/>
  <c r="E323" i="3"/>
  <c r="H323" i="3"/>
  <c r="N323" i="3"/>
  <c r="L323" i="3"/>
  <c r="M323" i="3"/>
  <c r="D323" i="3"/>
  <c r="H322" i="3"/>
  <c r="I322" i="3"/>
  <c r="K322" i="3"/>
  <c r="G322" i="3"/>
  <c r="F322" i="3"/>
  <c r="N322" i="3"/>
  <c r="J322" i="3"/>
  <c r="L322" i="3"/>
  <c r="M322" i="3" s="1"/>
  <c r="E322" i="3"/>
  <c r="D322" i="3"/>
  <c r="E321" i="3"/>
  <c r="G321" i="3"/>
  <c r="J321" i="3"/>
  <c r="K321" i="3"/>
  <c r="N321" i="3"/>
  <c r="I321" i="3"/>
  <c r="F321" i="3"/>
  <c r="L321" i="3"/>
  <c r="M321" i="3" s="1"/>
  <c r="H321" i="3"/>
  <c r="D321" i="3"/>
  <c r="N320" i="3"/>
  <c r="G320" i="3"/>
  <c r="D320" i="3"/>
  <c r="H320" i="3"/>
  <c r="L320" i="3"/>
  <c r="M320" i="3" s="1"/>
  <c r="E320" i="3"/>
  <c r="I320" i="3"/>
  <c r="J320" i="3"/>
  <c r="K320" i="3"/>
  <c r="F320" i="3"/>
  <c r="G319" i="3"/>
  <c r="J319" i="3"/>
  <c r="N319" i="3"/>
  <c r="F319" i="3"/>
  <c r="E319" i="3"/>
  <c r="K319" i="3"/>
  <c r="D319" i="3"/>
  <c r="L319" i="3"/>
  <c r="H319" i="3"/>
  <c r="I319" i="3"/>
  <c r="M319" i="3"/>
  <c r="F318" i="3"/>
  <c r="K318" i="3"/>
  <c r="G318" i="3"/>
  <c r="J318" i="3"/>
  <c r="N318" i="3"/>
  <c r="L318" i="3"/>
  <c r="M318" i="3"/>
  <c r="H318" i="3"/>
  <c r="I318" i="3"/>
  <c r="D318" i="3"/>
  <c r="E318" i="3"/>
  <c r="L317" i="3"/>
  <c r="F317" i="3"/>
  <c r="I317" i="3"/>
  <c r="H317" i="3"/>
  <c r="G317" i="3"/>
  <c r="N317" i="3"/>
  <c r="M317" i="3"/>
  <c r="K317" i="3"/>
  <c r="E317" i="3"/>
  <c r="J317" i="3"/>
  <c r="D317" i="3"/>
  <c r="I316" i="3"/>
  <c r="E316" i="3"/>
  <c r="K316" i="3"/>
  <c r="N316" i="3"/>
  <c r="J316" i="3"/>
  <c r="D316" i="3"/>
  <c r="G316" i="3"/>
  <c r="F316" i="3"/>
  <c r="L316" i="3"/>
  <c r="M316" i="3" s="1"/>
  <c r="H316" i="3"/>
  <c r="H315" i="3"/>
  <c r="I315" i="3"/>
  <c r="J315" i="3"/>
  <c r="F315" i="3"/>
  <c r="K315" i="3"/>
  <c r="L315" i="3"/>
  <c r="M315" i="3" s="1"/>
  <c r="G315" i="3"/>
  <c r="D315" i="3"/>
  <c r="N315" i="3"/>
  <c r="E315" i="3"/>
  <c r="E314" i="3"/>
  <c r="L314" i="3"/>
  <c r="M314" i="3"/>
  <c r="I314" i="3"/>
  <c r="F314" i="3"/>
  <c r="D314" i="3"/>
  <c r="K314" i="3"/>
  <c r="N314" i="3"/>
  <c r="G314" i="3"/>
  <c r="H314" i="3"/>
  <c r="J314" i="3"/>
  <c r="K313" i="3"/>
  <c r="L313" i="3"/>
  <c r="F313" i="3"/>
  <c r="J313" i="3"/>
  <c r="I313" i="3"/>
  <c r="G313" i="3"/>
  <c r="D313" i="3"/>
  <c r="M313" i="3"/>
  <c r="H313" i="3"/>
  <c r="E313" i="3"/>
  <c r="N313" i="3"/>
  <c r="L312" i="3"/>
  <c r="E312" i="3"/>
  <c r="H312" i="3"/>
  <c r="G312" i="3"/>
  <c r="M312" i="3"/>
  <c r="F312" i="3"/>
  <c r="J312" i="3"/>
  <c r="D312" i="3"/>
  <c r="K312" i="3"/>
  <c r="N312" i="3"/>
  <c r="K311" i="3"/>
  <c r="F311" i="3"/>
  <c r="L311" i="3"/>
  <c r="G311" i="3"/>
  <c r="N311" i="3"/>
  <c r="H311" i="3"/>
  <c r="J311" i="3"/>
  <c r="D311" i="3"/>
  <c r="I311" i="3"/>
  <c r="M311" i="3"/>
  <c r="E311" i="3"/>
  <c r="I310" i="3"/>
  <c r="K310" i="3"/>
  <c r="D310" i="3"/>
  <c r="J310" i="3"/>
  <c r="G310" i="3"/>
  <c r="N310" i="3"/>
  <c r="F310" i="3"/>
  <c r="L310" i="3"/>
  <c r="M310" i="3" s="1"/>
  <c r="H310" i="3"/>
  <c r="E310" i="3"/>
  <c r="K309" i="3"/>
  <c r="E309" i="3"/>
  <c r="I309" i="3"/>
  <c r="G309" i="3"/>
  <c r="N309" i="3"/>
  <c r="D309" i="3"/>
  <c r="J309" i="3"/>
  <c r="H309" i="3"/>
  <c r="L309" i="3"/>
  <c r="M309" i="3" s="1"/>
  <c r="F309" i="3"/>
  <c r="H308" i="3"/>
  <c r="J308" i="3"/>
  <c r="G308" i="3"/>
  <c r="F308" i="3"/>
  <c r="K308" i="3"/>
  <c r="E308" i="3"/>
  <c r="D308" i="3"/>
  <c r="L308" i="3"/>
  <c r="M308" i="3" s="1"/>
  <c r="I308" i="3"/>
  <c r="N308" i="3"/>
  <c r="E307" i="3"/>
  <c r="K307" i="3"/>
  <c r="G307" i="3"/>
  <c r="D307" i="3"/>
  <c r="I307" i="3"/>
  <c r="H307" i="3"/>
  <c r="L307" i="3"/>
  <c r="M307" i="3" s="1"/>
  <c r="F307" i="3"/>
  <c r="J307" i="3"/>
  <c r="N307" i="3"/>
  <c r="L306" i="3"/>
  <c r="D306" i="3"/>
  <c r="G306" i="3"/>
  <c r="M306" i="3"/>
  <c r="K306" i="3"/>
  <c r="F306" i="3"/>
  <c r="N306" i="3"/>
  <c r="J306" i="3"/>
  <c r="H306" i="3"/>
  <c r="I306" i="3"/>
  <c r="E306" i="3"/>
  <c r="L305" i="3"/>
  <c r="E305" i="3"/>
  <c r="J305" i="3"/>
  <c r="N305" i="3"/>
  <c r="G305" i="3"/>
  <c r="D305" i="3"/>
  <c r="M305" i="3"/>
  <c r="H305" i="3"/>
  <c r="K305" i="3"/>
  <c r="I305" i="3"/>
  <c r="F305" i="3"/>
  <c r="N304" i="3"/>
  <c r="H304" i="3"/>
  <c r="I304" i="3"/>
  <c r="J304" i="3"/>
  <c r="L304" i="3"/>
  <c r="M304" i="3" s="1"/>
  <c r="D304" i="3"/>
  <c r="G304" i="3"/>
  <c r="K304" i="3"/>
  <c r="F304" i="3"/>
  <c r="E304" i="3"/>
  <c r="E303" i="3"/>
  <c r="I303" i="3"/>
  <c r="H303" i="3"/>
  <c r="L303" i="3"/>
  <c r="M303" i="3" s="1"/>
  <c r="G303" i="3"/>
  <c r="D303" i="3"/>
  <c r="N303" i="3"/>
  <c r="J303" i="3"/>
  <c r="K303" i="3"/>
  <c r="F303" i="3"/>
  <c r="H302" i="3"/>
  <c r="G302" i="3"/>
  <c r="D302" i="3"/>
  <c r="L302" i="3"/>
  <c r="E302" i="3"/>
  <c r="K302" i="3"/>
  <c r="M302" i="3"/>
  <c r="I302" i="3"/>
  <c r="F302" i="3"/>
  <c r="J302" i="3"/>
  <c r="N302" i="3"/>
  <c r="I301" i="3"/>
  <c r="D301" i="3"/>
  <c r="E301" i="3"/>
  <c r="L301" i="3"/>
  <c r="M301" i="3" s="1"/>
  <c r="K301" i="3"/>
  <c r="F301" i="3"/>
  <c r="G301" i="3"/>
  <c r="H301" i="3"/>
  <c r="N301" i="3"/>
  <c r="J301" i="3"/>
  <c r="E300" i="3"/>
  <c r="I300" i="3"/>
  <c r="F300" i="3"/>
  <c r="L300" i="3"/>
  <c r="N300" i="3"/>
  <c r="G300" i="3"/>
  <c r="D300" i="3"/>
  <c r="H300" i="3"/>
  <c r="M300" i="3"/>
  <c r="K300" i="3"/>
  <c r="J300" i="3"/>
  <c r="E299" i="3"/>
  <c r="L299" i="3"/>
  <c r="M299" i="3" s="1"/>
  <c r="D299" i="3"/>
  <c r="H299" i="3"/>
  <c r="I299" i="3"/>
  <c r="K299" i="3"/>
  <c r="G299" i="3"/>
  <c r="F299" i="3"/>
  <c r="N299" i="3"/>
  <c r="J299" i="3"/>
  <c r="I298" i="3"/>
  <c r="E298" i="3"/>
  <c r="L298" i="3"/>
  <c r="M298" i="3" s="1"/>
  <c r="K298" i="3"/>
  <c r="F298" i="3"/>
  <c r="D298" i="3"/>
  <c r="J298" i="3"/>
  <c r="N298" i="3"/>
  <c r="H298" i="3"/>
  <c r="G298" i="3"/>
  <c r="I297" i="3"/>
  <c r="N297" i="3"/>
  <c r="J297" i="3"/>
  <c r="D297" i="3"/>
  <c r="F297" i="3"/>
  <c r="K297" i="3"/>
  <c r="H297" i="3"/>
  <c r="L297" i="3"/>
  <c r="G297" i="3"/>
  <c r="M297" i="3"/>
  <c r="E297" i="3"/>
  <c r="E296" i="3"/>
  <c r="L296" i="3"/>
  <c r="K296" i="3"/>
  <c r="N296" i="3"/>
  <c r="I296" i="3"/>
  <c r="F296" i="3"/>
  <c r="D296" i="3"/>
  <c r="M296" i="3"/>
  <c r="G296" i="3"/>
  <c r="J296" i="3"/>
  <c r="H296" i="3"/>
  <c r="L295" i="3"/>
  <c r="K295" i="3"/>
  <c r="F295" i="3"/>
  <c r="G295" i="3"/>
  <c r="D295" i="3"/>
  <c r="E295" i="3"/>
  <c r="J295" i="3"/>
  <c r="I295" i="3"/>
  <c r="N295" i="3"/>
  <c r="M295" i="3"/>
  <c r="H295" i="3"/>
  <c r="J294" i="3"/>
  <c r="E294" i="3"/>
  <c r="H294" i="3"/>
  <c r="K294" i="3"/>
  <c r="N294" i="3"/>
  <c r="D294" i="3"/>
  <c r="G294" i="3"/>
  <c r="L294" i="3"/>
  <c r="M294" i="3" s="1"/>
  <c r="I294" i="3"/>
  <c r="F294" i="3"/>
  <c r="K293" i="3"/>
  <c r="D293" i="3"/>
  <c r="L293" i="3"/>
  <c r="M293" i="3"/>
  <c r="G293" i="3"/>
  <c r="H293" i="3"/>
  <c r="N293" i="3"/>
  <c r="E293" i="3"/>
  <c r="I293" i="3"/>
  <c r="F293" i="3"/>
  <c r="J293" i="3"/>
  <c r="K292" i="3"/>
  <c r="G292" i="3"/>
  <c r="I292" i="3"/>
  <c r="H292" i="3"/>
  <c r="F292" i="3"/>
  <c r="N292" i="3"/>
  <c r="J292" i="3"/>
  <c r="D292" i="3"/>
  <c r="E292" i="3"/>
  <c r="L292" i="3"/>
  <c r="M292" i="3" s="1"/>
  <c r="N291" i="3"/>
  <c r="I291" i="3"/>
  <c r="F291" i="3"/>
  <c r="L291" i="3"/>
  <c r="K291" i="3"/>
  <c r="E291" i="3"/>
  <c r="H291" i="3"/>
  <c r="J291" i="3"/>
  <c r="D291" i="3"/>
  <c r="M291" i="3"/>
  <c r="G291" i="3"/>
  <c r="N290" i="3"/>
  <c r="H290" i="3"/>
  <c r="I290" i="3"/>
  <c r="E290" i="3"/>
  <c r="D290" i="3"/>
  <c r="L290" i="3"/>
  <c r="M290" i="3"/>
  <c r="K290" i="3"/>
  <c r="G290" i="3"/>
  <c r="J290" i="3"/>
  <c r="F290" i="3"/>
  <c r="K289" i="3"/>
  <c r="E289" i="3"/>
  <c r="I289" i="3"/>
  <c r="N289" i="3"/>
  <c r="H289" i="3"/>
  <c r="G289" i="3"/>
  <c r="L289" i="3"/>
  <c r="J289" i="3"/>
  <c r="F289" i="3"/>
  <c r="M289" i="3"/>
  <c r="D289" i="3"/>
  <c r="L288" i="3"/>
  <c r="D288" i="3"/>
  <c r="G288" i="3"/>
  <c r="M288" i="3"/>
  <c r="J288" i="3"/>
  <c r="E288" i="3"/>
  <c r="I288" i="3"/>
  <c r="N288" i="3"/>
  <c r="H288" i="3"/>
  <c r="K288" i="3"/>
  <c r="F288" i="3"/>
  <c r="L287" i="3"/>
  <c r="K287" i="3"/>
  <c r="N287" i="3"/>
  <c r="H287" i="3"/>
  <c r="F287" i="3"/>
  <c r="J287" i="3"/>
  <c r="G287" i="3"/>
  <c r="M287" i="3"/>
  <c r="I287" i="3"/>
  <c r="E287" i="3"/>
  <c r="D287" i="3"/>
  <c r="N286" i="3"/>
  <c r="J286" i="3"/>
  <c r="I286" i="3"/>
  <c r="K286" i="3"/>
  <c r="G286" i="3"/>
  <c r="D286" i="3"/>
  <c r="F286" i="3"/>
  <c r="H286" i="3"/>
  <c r="E286" i="3"/>
  <c r="L286" i="3"/>
  <c r="M286" i="3" s="1"/>
  <c r="L285" i="3"/>
  <c r="I285" i="3"/>
  <c r="E285" i="3"/>
  <c r="K285" i="3"/>
  <c r="H285" i="3"/>
  <c r="J285" i="3"/>
  <c r="F285" i="3"/>
  <c r="G285" i="3"/>
  <c r="M285" i="3"/>
  <c r="N285" i="3"/>
  <c r="D285" i="3"/>
  <c r="I284" i="3"/>
  <c r="E284" i="3"/>
  <c r="F284" i="3"/>
  <c r="H284" i="3"/>
  <c r="K284" i="3"/>
  <c r="J284" i="3"/>
  <c r="L284" i="3"/>
  <c r="N284" i="3"/>
  <c r="D284" i="3"/>
  <c r="M284" i="3"/>
  <c r="G284" i="3"/>
  <c r="N283" i="3"/>
  <c r="K283" i="3"/>
  <c r="G283" i="3"/>
  <c r="J283" i="3"/>
  <c r="F283" i="3"/>
  <c r="H283" i="3"/>
  <c r="E283" i="3"/>
  <c r="L283" i="3"/>
  <c r="M283" i="3" s="1"/>
  <c r="I283" i="3"/>
  <c r="D283" i="3"/>
  <c r="J282" i="3"/>
  <c r="E282" i="3"/>
  <c r="H282" i="3"/>
  <c r="L282" i="3"/>
  <c r="I282" i="3"/>
  <c r="D282" i="3"/>
  <c r="N282" i="3"/>
  <c r="M282" i="3"/>
  <c r="F282" i="3"/>
  <c r="G282" i="3"/>
  <c r="K282" i="3"/>
  <c r="H281" i="3"/>
  <c r="N281" i="3"/>
  <c r="K281" i="3"/>
  <c r="F281" i="3"/>
  <c r="J281" i="3"/>
  <c r="E281" i="3"/>
  <c r="D281" i="3"/>
  <c r="I281" i="3"/>
  <c r="L281" i="3"/>
  <c r="M281" i="3" s="1"/>
  <c r="G281" i="3"/>
  <c r="D280" i="3"/>
  <c r="K280" i="3"/>
  <c r="H280" i="3"/>
  <c r="J280" i="3"/>
  <c r="N280" i="3"/>
  <c r="F280" i="3"/>
  <c r="E280" i="3"/>
  <c r="G280" i="3"/>
  <c r="L280" i="3"/>
  <c r="M280" i="3" s="1"/>
  <c r="I280" i="3"/>
  <c r="E279" i="3"/>
  <c r="K279" i="3"/>
  <c r="G279" i="3"/>
  <c r="H279" i="3"/>
  <c r="N279" i="3"/>
  <c r="I279" i="3"/>
  <c r="D279" i="3"/>
  <c r="J279" i="3"/>
  <c r="L279" i="3"/>
  <c r="M279" i="3" s="1"/>
  <c r="F279" i="3"/>
  <c r="J278" i="3"/>
  <c r="K278" i="3"/>
  <c r="E278" i="3"/>
  <c r="I278" i="3"/>
  <c r="L278" i="3"/>
  <c r="M278" i="3"/>
  <c r="N278" i="3"/>
  <c r="D278" i="3"/>
  <c r="H278" i="3"/>
  <c r="F278" i="3"/>
  <c r="G278" i="3"/>
  <c r="F277" i="3"/>
  <c r="L277" i="3"/>
  <c r="M277" i="3"/>
  <c r="K277" i="3"/>
  <c r="D277" i="3"/>
  <c r="H277" i="3"/>
  <c r="N277" i="3"/>
  <c r="G277" i="3"/>
  <c r="I277" i="3"/>
  <c r="E277" i="3"/>
  <c r="J277" i="3"/>
  <c r="F276" i="3"/>
  <c r="K276" i="3"/>
  <c r="L276" i="3"/>
  <c r="G276" i="3"/>
  <c r="E276" i="3"/>
  <c r="D276" i="3"/>
  <c r="N276" i="3"/>
  <c r="J276" i="3"/>
  <c r="H276" i="3"/>
  <c r="M276" i="3"/>
  <c r="I276" i="3"/>
  <c r="N275" i="3"/>
  <c r="F275" i="3"/>
  <c r="E275" i="3"/>
  <c r="G275" i="3"/>
  <c r="H275" i="3"/>
  <c r="D275" i="3"/>
  <c r="I275" i="3"/>
  <c r="L275" i="3"/>
  <c r="K275" i="3"/>
  <c r="M275" i="3"/>
  <c r="J275" i="3"/>
  <c r="I274" i="3"/>
  <c r="E274" i="3"/>
  <c r="L274" i="3"/>
  <c r="M274" i="3" s="1"/>
  <c r="D274" i="3"/>
  <c r="F274" i="3"/>
  <c r="N274" i="3"/>
  <c r="H274" i="3"/>
  <c r="J274" i="3"/>
  <c r="K274" i="3"/>
  <c r="G274" i="3"/>
  <c r="J273" i="3"/>
  <c r="I273" i="3"/>
  <c r="L273" i="3"/>
  <c r="M273" i="3" s="1"/>
  <c r="H273" i="3"/>
  <c r="N273" i="3"/>
  <c r="F273" i="3"/>
  <c r="E273" i="3"/>
  <c r="G273" i="3"/>
  <c r="D273" i="3"/>
  <c r="K273" i="3"/>
  <c r="E272" i="3"/>
  <c r="F272" i="3"/>
  <c r="L272" i="3"/>
  <c r="H272" i="3"/>
  <c r="D272" i="3"/>
  <c r="G272" i="3"/>
  <c r="J272" i="3"/>
  <c r="I272" i="3"/>
  <c r="N272" i="3"/>
  <c r="K272" i="3"/>
  <c r="M272" i="3"/>
  <c r="K271" i="3"/>
  <c r="G271" i="3"/>
  <c r="J271" i="3"/>
  <c r="N271" i="3"/>
  <c r="D271" i="3"/>
  <c r="I271" i="3"/>
  <c r="E271" i="3"/>
  <c r="L271" i="3"/>
  <c r="M271" i="3" s="1"/>
  <c r="F271" i="3"/>
  <c r="H271" i="3"/>
  <c r="N270" i="3"/>
  <c r="E270" i="3"/>
  <c r="G270" i="3"/>
  <c r="D270" i="3"/>
  <c r="K270" i="3"/>
  <c r="F270" i="3"/>
  <c r="I270" i="3"/>
  <c r="H270" i="3"/>
  <c r="L270" i="3"/>
  <c r="M270" i="3" s="1"/>
  <c r="J270" i="3"/>
  <c r="N269" i="3"/>
  <c r="E269" i="3"/>
  <c r="F269" i="3"/>
  <c r="L269" i="3"/>
  <c r="M269" i="3"/>
  <c r="G269" i="3"/>
  <c r="I269" i="3"/>
  <c r="H269" i="3"/>
  <c r="K269" i="3"/>
  <c r="J269" i="3"/>
  <c r="D269" i="3"/>
  <c r="N268" i="3"/>
  <c r="G268" i="3"/>
  <c r="H268" i="3"/>
  <c r="I268" i="3"/>
  <c r="J268" i="3"/>
  <c r="K268" i="3"/>
  <c r="D268" i="3"/>
  <c r="F268" i="3"/>
  <c r="L268" i="3"/>
  <c r="M268" i="3" s="1"/>
  <c r="E268" i="3"/>
  <c r="N267" i="3"/>
  <c r="F267" i="3"/>
  <c r="K267" i="3"/>
  <c r="H267" i="3"/>
  <c r="I267" i="3"/>
  <c r="D267" i="3"/>
  <c r="G267" i="3"/>
  <c r="L267" i="3"/>
  <c r="M267" i="3" s="1"/>
  <c r="J267" i="3"/>
  <c r="E267" i="3"/>
  <c r="N266" i="3"/>
  <c r="E266" i="3"/>
  <c r="L266" i="3"/>
  <c r="H266" i="3"/>
  <c r="G266" i="3"/>
  <c r="J266" i="3"/>
  <c r="I266" i="3"/>
  <c r="M266" i="3"/>
  <c r="D266" i="3"/>
  <c r="K266" i="3"/>
  <c r="F266" i="3"/>
  <c r="I265" i="3"/>
  <c r="F265" i="3"/>
  <c r="L265" i="3"/>
  <c r="K265" i="3"/>
  <c r="G265" i="3"/>
  <c r="D265" i="3"/>
  <c r="E265" i="3"/>
  <c r="J265" i="3"/>
  <c r="H265" i="3"/>
  <c r="M265" i="3"/>
  <c r="N265" i="3"/>
  <c r="H264" i="3"/>
  <c r="N264" i="3"/>
  <c r="G264" i="3"/>
  <c r="L264" i="3"/>
  <c r="I264" i="3"/>
  <c r="K264" i="3"/>
  <c r="D264" i="3"/>
  <c r="M264" i="3"/>
  <c r="F264" i="3"/>
  <c r="J264" i="3"/>
  <c r="E264" i="3"/>
  <c r="J263" i="3"/>
  <c r="I263" i="3"/>
  <c r="H263" i="3"/>
  <c r="G263" i="3"/>
  <c r="E263" i="3"/>
  <c r="N263" i="3"/>
  <c r="F263" i="3"/>
  <c r="K263" i="3"/>
  <c r="L263" i="3"/>
  <c r="M263" i="3" s="1"/>
  <c r="D263" i="3"/>
  <c r="J262" i="3"/>
  <c r="D262" i="3"/>
  <c r="E262" i="3"/>
  <c r="G262" i="3"/>
  <c r="L262" i="3"/>
  <c r="I262" i="3"/>
  <c r="M262" i="3"/>
  <c r="H262" i="3"/>
  <c r="N262" i="3"/>
  <c r="F262" i="3"/>
  <c r="K262" i="3"/>
  <c r="G261" i="3"/>
  <c r="L261" i="3"/>
  <c r="I261" i="3"/>
  <c r="E261" i="3"/>
  <c r="M261" i="3"/>
  <c r="F261" i="3"/>
  <c r="J261" i="3"/>
  <c r="N261" i="3"/>
  <c r="D261" i="3"/>
  <c r="K261" i="3"/>
  <c r="H261" i="3"/>
  <c r="L260" i="3"/>
  <c r="E260" i="3"/>
  <c r="M260" i="3"/>
  <c r="D260" i="3"/>
  <c r="I260" i="3"/>
  <c r="F260" i="3"/>
  <c r="J260" i="3"/>
  <c r="G260" i="3"/>
  <c r="N260" i="3"/>
  <c r="K260" i="3"/>
  <c r="D259" i="3"/>
  <c r="I259" i="3"/>
  <c r="L259" i="3"/>
  <c r="M259" i="3"/>
  <c r="J259" i="3"/>
  <c r="N259" i="3"/>
  <c r="G259" i="3"/>
  <c r="H259" i="3"/>
  <c r="K259" i="3"/>
  <c r="F259" i="3"/>
  <c r="E259" i="3"/>
  <c r="E258" i="3"/>
  <c r="F258" i="3"/>
  <c r="J258" i="3"/>
  <c r="H258" i="3"/>
  <c r="K258" i="3"/>
  <c r="N258" i="3"/>
  <c r="I258" i="3"/>
  <c r="D258" i="3"/>
  <c r="L258" i="3"/>
  <c r="G258" i="3"/>
  <c r="M258" i="3"/>
  <c r="K257" i="3"/>
  <c r="J257" i="3"/>
  <c r="F257" i="3"/>
  <c r="N257" i="3"/>
  <c r="L257" i="3"/>
  <c r="E257" i="3"/>
  <c r="I257" i="3"/>
  <c r="D257" i="3"/>
  <c r="H257" i="3"/>
  <c r="G257" i="3"/>
  <c r="M257" i="3"/>
  <c r="K256" i="3"/>
  <c r="G256" i="3"/>
  <c r="L256" i="3"/>
  <c r="F256" i="3"/>
  <c r="I256" i="3"/>
  <c r="N256" i="3"/>
  <c r="H256" i="3"/>
  <c r="E256" i="3"/>
  <c r="M256" i="3"/>
  <c r="J256" i="3"/>
  <c r="D256" i="3"/>
  <c r="J255" i="3"/>
  <c r="D255" i="3"/>
  <c r="F255" i="3"/>
  <c r="N255" i="3"/>
  <c r="G255" i="3"/>
  <c r="K255" i="3"/>
  <c r="H255" i="3"/>
  <c r="I255" i="3"/>
  <c r="E255" i="3"/>
  <c r="L255" i="3"/>
  <c r="M255" i="3" s="1"/>
  <c r="F254" i="3"/>
  <c r="I254" i="3"/>
  <c r="G254" i="3"/>
  <c r="L254" i="3"/>
  <c r="E254" i="3"/>
  <c r="H254" i="3"/>
  <c r="M254" i="3"/>
  <c r="D254" i="3"/>
  <c r="J254" i="3"/>
  <c r="N254" i="3"/>
  <c r="K254" i="3"/>
  <c r="L253" i="3"/>
  <c r="M253" i="3" s="1"/>
  <c r="K253" i="3"/>
  <c r="D253" i="3"/>
  <c r="I253" i="3"/>
  <c r="N253" i="3"/>
  <c r="F253" i="3"/>
  <c r="J253" i="3"/>
  <c r="E253" i="3"/>
  <c r="H253" i="3"/>
  <c r="G253" i="3"/>
  <c r="F252" i="3"/>
  <c r="D252" i="3"/>
  <c r="G252" i="3"/>
  <c r="N252" i="3"/>
  <c r="J252" i="3"/>
  <c r="E252" i="3"/>
  <c r="L252" i="3"/>
  <c r="M252" i="3" s="1"/>
  <c r="H252" i="3"/>
  <c r="K252" i="3"/>
  <c r="I252" i="3"/>
  <c r="D251" i="3"/>
  <c r="E251" i="3"/>
  <c r="H251" i="3"/>
  <c r="L251" i="3"/>
  <c r="K251" i="3"/>
  <c r="J251" i="3"/>
  <c r="F251" i="3"/>
  <c r="N251" i="3"/>
  <c r="G251" i="3"/>
  <c r="M251" i="3"/>
  <c r="I251" i="3"/>
  <c r="F250" i="3"/>
  <c r="L250" i="3"/>
  <c r="K250" i="3"/>
  <c r="J250" i="3"/>
  <c r="E250" i="3"/>
  <c r="G250" i="3"/>
  <c r="D250" i="3"/>
  <c r="M250" i="3"/>
  <c r="I250" i="3"/>
  <c r="H250" i="3"/>
  <c r="N250" i="3"/>
  <c r="J249" i="3"/>
  <c r="K249" i="3"/>
  <c r="I249" i="3"/>
  <c r="E249" i="3"/>
  <c r="G249" i="3"/>
  <c r="D249" i="3"/>
  <c r="L249" i="3"/>
  <c r="H249" i="3"/>
  <c r="N249" i="3"/>
  <c r="F249" i="3"/>
  <c r="M249" i="3"/>
  <c r="D248" i="3"/>
  <c r="N248" i="3"/>
  <c r="K248" i="3"/>
  <c r="L248" i="3"/>
  <c r="J248" i="3"/>
  <c r="H248" i="3"/>
  <c r="F248" i="3"/>
  <c r="G248" i="3"/>
  <c r="M248" i="3"/>
  <c r="E248" i="3"/>
  <c r="I248" i="3"/>
  <c r="J247" i="3"/>
  <c r="F247" i="3"/>
  <c r="L247" i="3"/>
  <c r="N247" i="3"/>
  <c r="H247" i="3"/>
  <c r="M247" i="3"/>
  <c r="G247" i="3"/>
  <c r="I247" i="3"/>
  <c r="E247" i="3"/>
  <c r="D247" i="3"/>
  <c r="K247" i="3"/>
  <c r="K246" i="3"/>
  <c r="J246" i="3"/>
  <c r="L246" i="3"/>
  <c r="M246" i="3" s="1"/>
  <c r="G246" i="3"/>
  <c r="E246" i="3"/>
  <c r="I246" i="3"/>
  <c r="F246" i="3"/>
  <c r="N246" i="3"/>
  <c r="H246" i="3"/>
  <c r="D246" i="3"/>
  <c r="H245" i="3"/>
  <c r="L245" i="3"/>
  <c r="I245" i="3"/>
  <c r="E245" i="3"/>
  <c r="K245" i="3"/>
  <c r="D245" i="3"/>
  <c r="J245" i="3"/>
  <c r="M245" i="3"/>
  <c r="G245" i="3"/>
  <c r="F245" i="3"/>
  <c r="N245" i="3"/>
  <c r="N244" i="3"/>
  <c r="E244" i="3"/>
  <c r="K244" i="3"/>
  <c r="J244" i="3"/>
  <c r="L244" i="3"/>
  <c r="M244" i="3" s="1"/>
  <c r="D244" i="3"/>
  <c r="G244" i="3"/>
  <c r="H244" i="3"/>
  <c r="F244" i="3"/>
  <c r="I244" i="3"/>
  <c r="I243" i="3"/>
  <c r="J243" i="3"/>
  <c r="G243" i="3"/>
  <c r="K243" i="3"/>
  <c r="N243" i="3"/>
  <c r="L243" i="3"/>
  <c r="M243" i="3" s="1"/>
  <c r="H243" i="3"/>
  <c r="D243" i="3"/>
  <c r="F243" i="3"/>
  <c r="E243" i="3"/>
  <c r="I242" i="3"/>
  <c r="H242" i="3"/>
  <c r="N242" i="3"/>
  <c r="J242" i="3"/>
  <c r="G242" i="3"/>
  <c r="K242" i="3"/>
  <c r="F242" i="3"/>
  <c r="D242" i="3"/>
  <c r="L242" i="3"/>
  <c r="M242" i="3" s="1"/>
  <c r="E242" i="3"/>
  <c r="G241" i="3"/>
  <c r="E241" i="3"/>
  <c r="D241" i="3"/>
  <c r="F241" i="3"/>
  <c r="D240" i="3"/>
  <c r="N240" i="3"/>
  <c r="L240" i="3"/>
  <c r="M240" i="3" s="1"/>
  <c r="K240" i="3"/>
  <c r="J240" i="3"/>
  <c r="I240" i="3"/>
  <c r="H240" i="3"/>
  <c r="G240" i="3"/>
  <c r="F240" i="3"/>
  <c r="E240" i="3"/>
  <c r="E239" i="3"/>
  <c r="N239" i="3"/>
  <c r="F239" i="3"/>
  <c r="G239" i="3"/>
  <c r="H239" i="3"/>
  <c r="I239" i="3"/>
  <c r="J239" i="3"/>
  <c r="K239" i="3"/>
  <c r="L239" i="3"/>
  <c r="M239" i="3"/>
  <c r="D239" i="3"/>
  <c r="D238" i="3"/>
  <c r="J238" i="3"/>
  <c r="I238" i="3"/>
  <c r="K238" i="3"/>
  <c r="L238" i="3"/>
  <c r="M238" i="3"/>
  <c r="N238" i="3"/>
  <c r="H238" i="3"/>
  <c r="G238" i="3"/>
  <c r="F238" i="3"/>
  <c r="E238" i="3"/>
  <c r="H237" i="3"/>
  <c r="G237" i="3"/>
  <c r="F237" i="3"/>
  <c r="E237" i="3"/>
  <c r="D237" i="3"/>
  <c r="I237" i="3"/>
  <c r="N237" i="3"/>
  <c r="L237" i="3"/>
  <c r="M237" i="3" s="1"/>
  <c r="K237" i="3"/>
  <c r="J237" i="3"/>
  <c r="D236" i="3"/>
  <c r="E236" i="3"/>
  <c r="F236" i="3"/>
  <c r="G236" i="3"/>
  <c r="H236" i="3"/>
  <c r="I236" i="3"/>
  <c r="J236" i="3"/>
  <c r="K236" i="3"/>
  <c r="L236" i="3"/>
  <c r="M236" i="3"/>
  <c r="N236" i="3"/>
  <c r="D235" i="3"/>
  <c r="K235" i="3"/>
  <c r="L235" i="3"/>
  <c r="M235" i="3"/>
  <c r="N235" i="3"/>
  <c r="J235" i="3"/>
  <c r="H235" i="3"/>
  <c r="G235" i="3"/>
  <c r="F235" i="3"/>
  <c r="I235" i="3"/>
  <c r="E235" i="3"/>
  <c r="E234" i="3"/>
  <c r="D234" i="3"/>
  <c r="N234" i="3"/>
  <c r="L234" i="3"/>
  <c r="M234" i="3" s="1"/>
  <c r="K234" i="3"/>
  <c r="J234" i="3"/>
  <c r="I234" i="3"/>
  <c r="H234" i="3"/>
  <c r="G234" i="3"/>
  <c r="F234" i="3"/>
  <c r="G233" i="3"/>
  <c r="D233" i="3"/>
  <c r="F233" i="3"/>
  <c r="N233" i="3"/>
  <c r="L233" i="3"/>
  <c r="M233" i="3" s="1"/>
  <c r="K233" i="3"/>
  <c r="J233" i="3"/>
  <c r="H233" i="3"/>
  <c r="E233" i="3"/>
  <c r="I233" i="3"/>
  <c r="D232" i="3"/>
  <c r="H232" i="3"/>
  <c r="L232" i="3"/>
  <c r="M232" i="3" s="1"/>
  <c r="K232" i="3"/>
  <c r="J232" i="3"/>
  <c r="I232" i="3"/>
  <c r="G232" i="3"/>
  <c r="F232" i="3"/>
  <c r="E232" i="3"/>
  <c r="N232" i="3"/>
  <c r="H231" i="3"/>
  <c r="G231" i="3"/>
  <c r="F231" i="3"/>
  <c r="E231" i="3"/>
  <c r="L231" i="3"/>
  <c r="D231" i="3"/>
  <c r="N231" i="3"/>
  <c r="M231" i="3"/>
  <c r="K231" i="3"/>
  <c r="J231" i="3"/>
  <c r="I231" i="3"/>
  <c r="J230" i="3"/>
  <c r="G230" i="3"/>
  <c r="D230" i="3"/>
  <c r="L230" i="3"/>
  <c r="I230" i="3"/>
  <c r="M230" i="3"/>
  <c r="N230" i="3"/>
  <c r="F230" i="3"/>
  <c r="E230" i="3"/>
  <c r="H230" i="3"/>
  <c r="K230" i="3"/>
  <c r="I229" i="3"/>
  <c r="D229" i="3"/>
  <c r="F229" i="3"/>
  <c r="G229" i="3"/>
  <c r="H229" i="3"/>
  <c r="J229" i="3"/>
  <c r="K229" i="3"/>
  <c r="L229" i="3"/>
  <c r="M229" i="3"/>
  <c r="N229" i="3"/>
  <c r="E229" i="3"/>
  <c r="H228" i="3"/>
  <c r="N228" i="3"/>
  <c r="I228" i="3"/>
  <c r="G228" i="3"/>
  <c r="D228" i="3"/>
  <c r="E228" i="3"/>
  <c r="F228" i="3"/>
  <c r="L228" i="3"/>
  <c r="M228" i="3" s="1"/>
  <c r="K228" i="3"/>
  <c r="J228" i="3"/>
  <c r="I227" i="3"/>
  <c r="J227" i="3"/>
  <c r="K227" i="3"/>
  <c r="L227" i="3"/>
  <c r="M227" i="3"/>
  <c r="N227" i="3"/>
  <c r="D227" i="3"/>
  <c r="E227" i="3"/>
  <c r="F227" i="3"/>
  <c r="G227" i="3"/>
  <c r="H227" i="3"/>
  <c r="J226" i="3"/>
  <c r="K226" i="3"/>
  <c r="L226" i="3"/>
  <c r="M226" i="3"/>
  <c r="N226" i="3"/>
  <c r="H226" i="3"/>
  <c r="G226" i="3"/>
  <c r="D226" i="3"/>
  <c r="E226" i="3"/>
  <c r="F226" i="3"/>
  <c r="I226" i="3"/>
  <c r="F225" i="3"/>
  <c r="E225" i="3"/>
  <c r="D225" i="3"/>
  <c r="L225" i="3"/>
  <c r="M225" i="3" s="1"/>
  <c r="K225" i="3"/>
  <c r="N225" i="3"/>
  <c r="J225" i="3"/>
  <c r="I225" i="3"/>
  <c r="H225" i="3"/>
  <c r="G225" i="3"/>
  <c r="N224" i="3"/>
  <c r="L224" i="3"/>
  <c r="M224" i="3" s="1"/>
  <c r="K224" i="3"/>
  <c r="J224" i="3"/>
  <c r="H224" i="3"/>
  <c r="G224" i="3"/>
  <c r="F224" i="3"/>
  <c r="E224" i="3"/>
  <c r="D224" i="3"/>
  <c r="I224" i="3"/>
  <c r="J223" i="3"/>
  <c r="D223" i="3"/>
  <c r="E223" i="3"/>
  <c r="F223" i="3"/>
  <c r="G223" i="3"/>
  <c r="H223" i="3"/>
  <c r="I223" i="3"/>
  <c r="K223" i="3"/>
  <c r="L223" i="3"/>
  <c r="M223" i="3"/>
  <c r="N223" i="3"/>
  <c r="H222" i="3"/>
  <c r="D222" i="3"/>
  <c r="F222" i="3"/>
  <c r="G222" i="3"/>
  <c r="I222" i="3"/>
  <c r="J222" i="3"/>
  <c r="K222" i="3"/>
  <c r="L222" i="3"/>
  <c r="M222" i="3"/>
  <c r="N222" i="3"/>
  <c r="E222" i="3"/>
  <c r="N221" i="3"/>
  <c r="J221" i="3"/>
  <c r="D221" i="3"/>
  <c r="L221" i="3"/>
  <c r="M221" i="3" s="1"/>
  <c r="K221" i="3"/>
  <c r="I221" i="3"/>
  <c r="H221" i="3"/>
  <c r="E221" i="3"/>
  <c r="G221" i="3"/>
  <c r="F221" i="3"/>
  <c r="L220" i="3"/>
  <c r="K220" i="3"/>
  <c r="M220" i="3"/>
  <c r="D220" i="3"/>
  <c r="N220" i="3"/>
  <c r="E220" i="3"/>
  <c r="F220" i="3"/>
  <c r="G220" i="3"/>
  <c r="H220" i="3"/>
  <c r="I220" i="3"/>
  <c r="J220" i="3"/>
  <c r="E219" i="3"/>
  <c r="D219" i="3"/>
  <c r="I219" i="3"/>
  <c r="J219" i="3"/>
  <c r="K219" i="3"/>
  <c r="L219" i="3"/>
  <c r="M219" i="3"/>
  <c r="N219" i="3"/>
  <c r="F219" i="3"/>
  <c r="G219" i="3"/>
  <c r="H219" i="3"/>
  <c r="N218" i="3"/>
  <c r="G218" i="3"/>
  <c r="L218" i="3"/>
  <c r="M218" i="3" s="1"/>
  <c r="J218" i="3"/>
  <c r="K218" i="3"/>
  <c r="I218" i="3"/>
  <c r="H218" i="3"/>
  <c r="F218" i="3"/>
  <c r="E218" i="3"/>
  <c r="D218" i="3"/>
  <c r="D217" i="3"/>
  <c r="E217" i="3"/>
  <c r="F217" i="3"/>
  <c r="G217" i="3"/>
  <c r="H217" i="3"/>
  <c r="N217" i="3"/>
  <c r="L217" i="3"/>
  <c r="K217" i="3"/>
  <c r="J217" i="3"/>
  <c r="M217" i="3"/>
  <c r="I217" i="3"/>
  <c r="J216" i="3"/>
  <c r="K216" i="3"/>
  <c r="L216" i="3"/>
  <c r="M216" i="3"/>
  <c r="N216" i="3"/>
  <c r="G216" i="3"/>
  <c r="D216" i="3"/>
  <c r="E216" i="3"/>
  <c r="F216" i="3"/>
  <c r="H216" i="3"/>
  <c r="I216" i="3"/>
  <c r="G215" i="3"/>
  <c r="H215" i="3"/>
  <c r="L215" i="3"/>
  <c r="I215" i="3"/>
  <c r="J215" i="3"/>
  <c r="M215" i="3"/>
  <c r="N215" i="3"/>
  <c r="D215" i="3"/>
  <c r="E215" i="3"/>
  <c r="F215" i="3"/>
  <c r="K215" i="3"/>
  <c r="D214" i="3"/>
  <c r="I214" i="3"/>
  <c r="K214" i="3"/>
  <c r="E214" i="3"/>
  <c r="F214" i="3"/>
  <c r="G214" i="3"/>
  <c r="H214" i="3"/>
  <c r="J214" i="3"/>
  <c r="L214" i="3"/>
  <c r="M214" i="3"/>
  <c r="N214" i="3"/>
  <c r="K213" i="3"/>
  <c r="L213" i="3"/>
  <c r="J213" i="3"/>
  <c r="N213" i="3"/>
  <c r="F213" i="3"/>
  <c r="E213" i="3"/>
  <c r="D213" i="3"/>
  <c r="H213" i="3"/>
  <c r="M213" i="3"/>
  <c r="G213" i="3"/>
  <c r="I213" i="3"/>
  <c r="L212" i="3"/>
  <c r="N212" i="3"/>
  <c r="M212" i="3"/>
  <c r="J212" i="3"/>
  <c r="I212" i="3"/>
  <c r="H212" i="3"/>
  <c r="G212" i="3"/>
  <c r="K212" i="3"/>
  <c r="E212" i="3"/>
  <c r="D212" i="3"/>
  <c r="F212" i="3"/>
  <c r="N211" i="3"/>
  <c r="L211" i="3"/>
  <c r="M211" i="3" s="1"/>
  <c r="K211" i="3"/>
  <c r="J211" i="3"/>
  <c r="I211" i="3"/>
  <c r="H211" i="3"/>
  <c r="G211" i="3"/>
  <c r="F211" i="3"/>
  <c r="E211" i="3"/>
  <c r="D211" i="3"/>
  <c r="N210" i="3"/>
  <c r="D210" i="3"/>
  <c r="H210" i="3"/>
  <c r="E210" i="3"/>
  <c r="J210" i="3"/>
  <c r="L210" i="3"/>
  <c r="M210" i="3" s="1"/>
  <c r="K210" i="3"/>
  <c r="G210" i="3"/>
  <c r="F210" i="3"/>
  <c r="I210" i="3"/>
  <c r="K209" i="3"/>
  <c r="H209" i="3"/>
  <c r="I209" i="3"/>
  <c r="J209" i="3"/>
  <c r="L209" i="3"/>
  <c r="M209" i="3" s="1"/>
  <c r="N209" i="3"/>
  <c r="G209" i="3"/>
  <c r="F209" i="3"/>
  <c r="E209" i="3"/>
  <c r="D209" i="3"/>
  <c r="N208" i="3"/>
  <c r="F208" i="3"/>
  <c r="D208" i="3"/>
  <c r="E208" i="3"/>
  <c r="G208" i="3"/>
  <c r="H208" i="3"/>
  <c r="L208" i="3"/>
  <c r="M208" i="3" s="1"/>
  <c r="K208" i="3"/>
  <c r="J208" i="3"/>
  <c r="I208" i="3"/>
  <c r="H207" i="3"/>
  <c r="E207" i="3"/>
  <c r="L207" i="3"/>
  <c r="K207" i="3"/>
  <c r="N207" i="3"/>
  <c r="I207" i="3"/>
  <c r="J207" i="3"/>
  <c r="G207" i="3"/>
  <c r="M207" i="3"/>
  <c r="F207" i="3"/>
  <c r="D207" i="3"/>
  <c r="D206" i="3"/>
  <c r="E206" i="3"/>
  <c r="F206" i="3"/>
  <c r="G206" i="3"/>
  <c r="H206" i="3"/>
  <c r="I206" i="3"/>
  <c r="J206" i="3"/>
  <c r="K206" i="3"/>
  <c r="N206" i="3"/>
  <c r="L206" i="3"/>
  <c r="M206" i="3" s="1"/>
  <c r="N205" i="3"/>
  <c r="L205" i="3"/>
  <c r="M205" i="3" s="1"/>
  <c r="K205" i="3"/>
  <c r="J205" i="3"/>
  <c r="I205" i="3"/>
  <c r="H205" i="3"/>
  <c r="G205" i="3"/>
  <c r="F205" i="3"/>
  <c r="E205" i="3"/>
  <c r="D205" i="3"/>
  <c r="K204" i="3"/>
  <c r="N204" i="3"/>
  <c r="L204" i="3"/>
  <c r="M204" i="3" s="1"/>
  <c r="J204" i="3"/>
  <c r="I204" i="3"/>
  <c r="H204" i="3"/>
  <c r="G204" i="3"/>
  <c r="F204" i="3"/>
  <c r="E204" i="3"/>
  <c r="D204" i="3"/>
  <c r="D203" i="3"/>
  <c r="L203" i="3"/>
  <c r="M203" i="3" s="1"/>
  <c r="K203" i="3"/>
  <c r="J203" i="3"/>
  <c r="I203" i="3"/>
  <c r="H203" i="3"/>
  <c r="G203" i="3"/>
  <c r="E203" i="3"/>
  <c r="N203" i="3"/>
  <c r="F203" i="3"/>
  <c r="K202" i="3"/>
  <c r="N202" i="3"/>
  <c r="L202" i="3"/>
  <c r="M202" i="3" s="1"/>
  <c r="J202" i="3"/>
  <c r="H202" i="3"/>
  <c r="I202" i="3"/>
  <c r="G202" i="3"/>
  <c r="F202" i="3"/>
  <c r="E202" i="3"/>
  <c r="D202" i="3"/>
  <c r="J201" i="3"/>
  <c r="I201" i="3"/>
  <c r="N201" i="3"/>
  <c r="L201" i="3"/>
  <c r="M201" i="3" s="1"/>
  <c r="H201" i="3"/>
  <c r="G201" i="3"/>
  <c r="D201" i="3"/>
  <c r="E201" i="3"/>
  <c r="K201" i="3"/>
  <c r="F201" i="3"/>
  <c r="D200" i="3"/>
  <c r="F200" i="3"/>
  <c r="E200" i="3"/>
  <c r="N200" i="3"/>
  <c r="G200" i="3"/>
  <c r="L200" i="3"/>
  <c r="M200" i="3" s="1"/>
  <c r="K200" i="3"/>
  <c r="J200" i="3"/>
  <c r="I200" i="3"/>
  <c r="H200" i="3"/>
  <c r="I199" i="3"/>
  <c r="J199" i="3"/>
  <c r="K199" i="3"/>
  <c r="L199" i="3"/>
  <c r="M199" i="3"/>
  <c r="E199" i="3"/>
  <c r="N199" i="3"/>
  <c r="D199" i="3"/>
  <c r="F199" i="3"/>
  <c r="G199" i="3"/>
  <c r="H199" i="3"/>
  <c r="F198" i="3"/>
  <c r="D198" i="3"/>
  <c r="N198" i="3"/>
  <c r="L198" i="3"/>
  <c r="M198" i="3" s="1"/>
  <c r="K198" i="3"/>
  <c r="J198" i="3"/>
  <c r="I198" i="3"/>
  <c r="H198" i="3"/>
  <c r="E198" i="3"/>
  <c r="G198" i="3"/>
  <c r="I197" i="3"/>
  <c r="H197" i="3"/>
  <c r="G197" i="3"/>
  <c r="F197" i="3"/>
  <c r="E197" i="3"/>
  <c r="J197" i="3"/>
  <c r="D197" i="3"/>
  <c r="N197" i="3"/>
  <c r="L197" i="3"/>
  <c r="M197" i="3" s="1"/>
  <c r="K197" i="3"/>
  <c r="N196" i="3"/>
  <c r="D196" i="3"/>
  <c r="E196" i="3"/>
  <c r="F196" i="3"/>
  <c r="G196" i="3"/>
  <c r="H196" i="3"/>
  <c r="I196" i="3"/>
  <c r="J196" i="3"/>
  <c r="K196" i="3"/>
  <c r="L196" i="3"/>
  <c r="M196" i="3"/>
  <c r="N195" i="3"/>
  <c r="L195" i="3"/>
  <c r="M195" i="3" s="1"/>
  <c r="J195" i="3"/>
  <c r="I195" i="3"/>
  <c r="H195" i="3"/>
  <c r="G195" i="3"/>
  <c r="F195" i="3"/>
  <c r="E195" i="3"/>
  <c r="D195" i="3"/>
  <c r="K195" i="3"/>
  <c r="N194" i="3"/>
  <c r="H194" i="3"/>
  <c r="L194" i="3"/>
  <c r="M194" i="3" s="1"/>
  <c r="K194" i="3"/>
  <c r="J194" i="3"/>
  <c r="I194" i="3"/>
  <c r="G194" i="3"/>
  <c r="F194" i="3"/>
  <c r="E194" i="3"/>
  <c r="D194" i="3"/>
  <c r="H193" i="3"/>
  <c r="N193" i="3"/>
  <c r="G193" i="3"/>
  <c r="F193" i="3"/>
  <c r="E193" i="3"/>
  <c r="D193" i="3"/>
  <c r="L193" i="3"/>
  <c r="M193" i="3" s="1"/>
  <c r="K193" i="3"/>
  <c r="J193" i="3"/>
  <c r="I193" i="3"/>
  <c r="F192" i="3"/>
  <c r="G192" i="3"/>
  <c r="H192" i="3"/>
  <c r="I192" i="3"/>
  <c r="K192" i="3"/>
  <c r="N192" i="3"/>
  <c r="L192" i="3"/>
  <c r="M192" i="3" s="1"/>
  <c r="J192" i="3"/>
  <c r="D192" i="3"/>
  <c r="E192" i="3"/>
  <c r="D191" i="3"/>
  <c r="E191" i="3"/>
  <c r="F191" i="3"/>
  <c r="G191" i="3"/>
  <c r="H191" i="3"/>
  <c r="I191" i="3"/>
  <c r="J191" i="3"/>
  <c r="K191" i="3"/>
  <c r="L191" i="3"/>
  <c r="M191" i="3" s="1"/>
  <c r="N191" i="3"/>
  <c r="H190" i="3"/>
  <c r="D190" i="3"/>
  <c r="N190" i="3"/>
  <c r="E190" i="3"/>
  <c r="F190" i="3"/>
  <c r="G190" i="3"/>
  <c r="I190" i="3"/>
  <c r="J190" i="3"/>
  <c r="K190" i="3"/>
  <c r="L190" i="3"/>
  <c r="M190" i="3" s="1"/>
  <c r="L189" i="3"/>
  <c r="M189" i="3"/>
  <c r="K189" i="3"/>
  <c r="J189" i="3"/>
  <c r="I189" i="3"/>
  <c r="H189" i="3"/>
  <c r="N189" i="3"/>
  <c r="G189" i="3"/>
  <c r="F189" i="3"/>
  <c r="E189" i="3"/>
  <c r="D189" i="3"/>
  <c r="N188" i="3"/>
  <c r="F188" i="3"/>
  <c r="D188" i="3"/>
  <c r="I188" i="3"/>
  <c r="J188" i="3"/>
  <c r="K188" i="3"/>
  <c r="H188" i="3"/>
  <c r="G188" i="3"/>
  <c r="E188" i="3"/>
  <c r="L188" i="3"/>
  <c r="M188" i="3" s="1"/>
  <c r="D187" i="3"/>
  <c r="E187" i="3"/>
  <c r="H187" i="3"/>
  <c r="L187" i="3"/>
  <c r="K187" i="3"/>
  <c r="F187" i="3"/>
  <c r="G187" i="3"/>
  <c r="I187" i="3"/>
  <c r="N187" i="3"/>
  <c r="M187" i="3"/>
  <c r="J187" i="3"/>
  <c r="I186" i="3"/>
  <c r="G186" i="3"/>
  <c r="L186" i="3"/>
  <c r="M186" i="3" s="1"/>
  <c r="K186" i="3"/>
  <c r="J186" i="3"/>
  <c r="N186" i="3"/>
  <c r="H186" i="3"/>
  <c r="F186" i="3"/>
  <c r="E186" i="3"/>
  <c r="D186" i="3"/>
  <c r="N185" i="3"/>
  <c r="F185" i="3"/>
  <c r="H185" i="3"/>
  <c r="I185" i="3"/>
  <c r="G185" i="3"/>
  <c r="J185" i="3"/>
  <c r="K185" i="3"/>
  <c r="E185" i="3"/>
  <c r="L185" i="3"/>
  <c r="D185" i="3"/>
  <c r="M185" i="3"/>
  <c r="G184" i="3"/>
  <c r="E184" i="3"/>
  <c r="D184" i="3"/>
  <c r="J184" i="3"/>
  <c r="I184" i="3"/>
  <c r="F184" i="3"/>
  <c r="N184" i="3"/>
  <c r="L184" i="3"/>
  <c r="M184" i="3" s="1"/>
  <c r="K184" i="3"/>
  <c r="H184" i="3"/>
  <c r="N183" i="3"/>
  <c r="K183" i="3"/>
  <c r="J183" i="3"/>
  <c r="L183" i="3"/>
  <c r="I183" i="3"/>
  <c r="H183" i="3"/>
  <c r="G183" i="3"/>
  <c r="F183" i="3"/>
  <c r="E183" i="3"/>
  <c r="D183" i="3"/>
  <c r="M183" i="3"/>
  <c r="L182" i="3"/>
  <c r="K182" i="3"/>
  <c r="J182" i="3"/>
  <c r="I182" i="3"/>
  <c r="H182" i="3"/>
  <c r="G182" i="3"/>
  <c r="F182" i="3"/>
  <c r="D182" i="3"/>
  <c r="N182" i="3"/>
  <c r="M182" i="3"/>
  <c r="E182" i="3"/>
  <c r="E181" i="3"/>
  <c r="F181" i="3"/>
  <c r="G181" i="3"/>
  <c r="H181" i="3"/>
  <c r="K181" i="3"/>
  <c r="J181" i="3"/>
  <c r="D181" i="3"/>
  <c r="L181" i="3"/>
  <c r="M181" i="3"/>
  <c r="N181" i="3"/>
  <c r="I181" i="3"/>
  <c r="J180" i="3"/>
  <c r="K180" i="3"/>
  <c r="L180" i="3"/>
  <c r="F180" i="3"/>
  <c r="N180" i="3"/>
  <c r="M180" i="3"/>
  <c r="G180" i="3"/>
  <c r="H180" i="3"/>
  <c r="I180" i="3"/>
  <c r="E180" i="3"/>
  <c r="D180" i="3"/>
  <c r="E179" i="3"/>
  <c r="H179" i="3"/>
  <c r="J179" i="3"/>
  <c r="G179" i="3"/>
  <c r="F179" i="3"/>
  <c r="D179" i="3"/>
  <c r="I179" i="3"/>
  <c r="N179" i="3"/>
  <c r="L179" i="3"/>
  <c r="M179" i="3" s="1"/>
  <c r="K179" i="3"/>
  <c r="I178" i="3"/>
  <c r="J178" i="3"/>
  <c r="L178" i="3"/>
  <c r="M178" i="3"/>
  <c r="N178" i="3"/>
  <c r="K178" i="3"/>
  <c r="D178" i="3"/>
  <c r="E178" i="3"/>
  <c r="F178" i="3"/>
  <c r="G178" i="3"/>
  <c r="H178" i="3"/>
  <c r="D177" i="3"/>
  <c r="N177" i="3"/>
  <c r="L177" i="3"/>
  <c r="K177" i="3"/>
  <c r="J177" i="3"/>
  <c r="I177" i="3"/>
  <c r="E177" i="3"/>
  <c r="M177" i="3"/>
  <c r="F177" i="3"/>
  <c r="G177" i="3"/>
  <c r="H177" i="3"/>
  <c r="J176" i="3"/>
  <c r="K176" i="3"/>
  <c r="L176" i="3"/>
  <c r="M176" i="3" s="1"/>
  <c r="N176" i="3"/>
  <c r="F176" i="3"/>
  <c r="D176" i="3"/>
  <c r="E176" i="3"/>
  <c r="G176" i="3"/>
  <c r="H176" i="3"/>
  <c r="I176" i="3"/>
  <c r="H175" i="3"/>
  <c r="J175" i="3"/>
  <c r="I175" i="3"/>
  <c r="G175" i="3"/>
  <c r="F175" i="3"/>
  <c r="E175" i="3"/>
  <c r="D175" i="3"/>
  <c r="K175" i="3"/>
  <c r="L175" i="3"/>
  <c r="M175" i="3"/>
  <c r="N175" i="3"/>
  <c r="N174" i="3"/>
  <c r="L174" i="3"/>
  <c r="M174" i="3" s="1"/>
  <c r="K174" i="3"/>
  <c r="J174" i="3"/>
  <c r="I174" i="3"/>
  <c r="G174" i="3"/>
  <c r="F174" i="3"/>
  <c r="D174" i="3"/>
  <c r="E174" i="3"/>
  <c r="H174" i="3"/>
  <c r="J173" i="3"/>
  <c r="K173" i="3"/>
  <c r="L173" i="3"/>
  <c r="N173" i="3"/>
  <c r="E173" i="3"/>
  <c r="D173" i="3"/>
  <c r="M173" i="3"/>
  <c r="F173" i="3"/>
  <c r="G173" i="3"/>
  <c r="H173" i="3"/>
  <c r="I173" i="3"/>
  <c r="I172" i="3"/>
  <c r="J172" i="3"/>
  <c r="H172" i="3"/>
  <c r="G172" i="3"/>
  <c r="F172" i="3"/>
  <c r="E172" i="3"/>
  <c r="D172" i="3"/>
  <c r="N172" i="3"/>
  <c r="L172" i="3"/>
  <c r="M172" i="3" s="1"/>
  <c r="K172" i="3"/>
  <c r="N171" i="3"/>
  <c r="D171" i="3"/>
  <c r="E171" i="3"/>
  <c r="F171" i="3"/>
  <c r="G171" i="3"/>
  <c r="H171" i="3"/>
  <c r="I171" i="3"/>
  <c r="J171" i="3"/>
  <c r="K171" i="3"/>
  <c r="L171" i="3"/>
  <c r="M171" i="3" s="1"/>
  <c r="L170" i="3"/>
  <c r="K170" i="3"/>
  <c r="J170" i="3"/>
  <c r="I170" i="3"/>
  <c r="H170" i="3"/>
  <c r="G170" i="3"/>
  <c r="F170" i="3"/>
  <c r="E170" i="3"/>
  <c r="D170" i="3"/>
  <c r="N170" i="3"/>
  <c r="M170" i="3"/>
  <c r="F169" i="3"/>
  <c r="G169" i="3"/>
  <c r="I169" i="3"/>
  <c r="J169" i="3"/>
  <c r="L169" i="3"/>
  <c r="H169" i="3"/>
  <c r="N169" i="3"/>
  <c r="K169" i="3"/>
  <c r="M169" i="3"/>
  <c r="D169" i="3"/>
  <c r="E169" i="3"/>
  <c r="F168" i="3"/>
  <c r="N168" i="3"/>
  <c r="L168" i="3"/>
  <c r="M168" i="3" s="1"/>
  <c r="K168" i="3"/>
  <c r="J168" i="3"/>
  <c r="I168" i="3"/>
  <c r="H168" i="3"/>
  <c r="G168" i="3"/>
  <c r="E168" i="3"/>
  <c r="D168" i="3"/>
  <c r="H167" i="3"/>
  <c r="G167" i="3"/>
  <c r="F167" i="3"/>
  <c r="E167" i="3"/>
  <c r="D167" i="3"/>
  <c r="K167" i="3"/>
  <c r="N167" i="3"/>
  <c r="L167" i="3"/>
  <c r="M167" i="3" s="1"/>
  <c r="J167" i="3"/>
  <c r="I167" i="3"/>
  <c r="L166" i="3"/>
  <c r="M166" i="3" s="1"/>
  <c r="K166" i="3"/>
  <c r="G166" i="3"/>
  <c r="H166" i="3"/>
  <c r="I166" i="3"/>
  <c r="J166" i="3"/>
  <c r="D166" i="3"/>
  <c r="N166" i="3"/>
  <c r="E166" i="3"/>
  <c r="F166" i="3"/>
  <c r="D165" i="3"/>
  <c r="E165" i="3"/>
  <c r="F165" i="3"/>
  <c r="G165" i="3"/>
  <c r="H165" i="3"/>
  <c r="I165" i="3"/>
  <c r="J165" i="3"/>
  <c r="K165" i="3"/>
  <c r="L165" i="3"/>
  <c r="M165" i="3" s="1"/>
  <c r="N165" i="3"/>
  <c r="H164" i="3"/>
  <c r="G164" i="3"/>
  <c r="F164" i="3"/>
  <c r="E164" i="3"/>
  <c r="I164" i="3"/>
  <c r="D164" i="3"/>
  <c r="H163" i="3"/>
  <c r="G163" i="3"/>
  <c r="F163" i="3"/>
  <c r="E163" i="3"/>
  <c r="D163" i="3"/>
  <c r="I163" i="3"/>
  <c r="E162" i="3"/>
  <c r="I162" i="3"/>
  <c r="H162" i="3"/>
  <c r="G162" i="3"/>
  <c r="F162" i="3"/>
  <c r="D162" i="3"/>
  <c r="G161" i="3"/>
  <c r="F161" i="3"/>
  <c r="E161" i="3"/>
  <c r="D161" i="3"/>
  <c r="H161" i="3"/>
  <c r="I161" i="3"/>
  <c r="D160" i="3"/>
  <c r="E160" i="3"/>
  <c r="F160" i="3"/>
  <c r="G160" i="3"/>
  <c r="H160" i="3"/>
  <c r="I160" i="3"/>
  <c r="D159" i="3"/>
  <c r="H159" i="3"/>
  <c r="G159" i="3"/>
  <c r="F159" i="3"/>
  <c r="E159" i="3"/>
  <c r="I159" i="3"/>
  <c r="K158" i="3"/>
  <c r="H158" i="3"/>
  <c r="D158" i="3"/>
  <c r="F158" i="3"/>
  <c r="G158" i="3"/>
  <c r="L158" i="3" s="1"/>
  <c r="I158" i="3"/>
  <c r="E158" i="3"/>
  <c r="D157" i="3"/>
  <c r="E157" i="3"/>
  <c r="K157" i="3"/>
  <c r="F157" i="3"/>
  <c r="G157" i="3"/>
  <c r="L157" i="3" s="1"/>
  <c r="H157" i="3"/>
  <c r="I157" i="3"/>
  <c r="H156" i="3"/>
  <c r="I156" i="3"/>
  <c r="K156" i="3"/>
  <c r="G156" i="3"/>
  <c r="L156" i="3" s="1"/>
  <c r="D156" i="3"/>
  <c r="E156" i="3"/>
  <c r="F156" i="3"/>
  <c r="K155" i="3"/>
  <c r="F155" i="3"/>
  <c r="G155" i="3"/>
  <c r="L155" i="3" s="1"/>
  <c r="D155" i="3"/>
  <c r="H155" i="3"/>
  <c r="I155" i="3"/>
  <c r="E155" i="3"/>
  <c r="D154" i="3"/>
  <c r="K154" i="3"/>
  <c r="H154" i="3"/>
  <c r="G154" i="3"/>
  <c r="L154" i="3" s="1"/>
  <c r="F154" i="3"/>
  <c r="E154" i="3"/>
  <c r="I154" i="3"/>
  <c r="I153" i="3"/>
  <c r="K153" i="3"/>
  <c r="H153" i="3"/>
  <c r="E153" i="3"/>
  <c r="F153" i="3"/>
  <c r="D153" i="3"/>
  <c r="G153" i="3"/>
  <c r="L153" i="3" s="1"/>
  <c r="H152" i="3"/>
  <c r="I152" i="3"/>
  <c r="G152" i="3"/>
  <c r="F152" i="3"/>
  <c r="E152" i="3"/>
  <c r="D152" i="3"/>
  <c r="G151" i="3"/>
  <c r="H151" i="3"/>
  <c r="E151" i="3"/>
  <c r="I151" i="3"/>
  <c r="F151" i="3"/>
  <c r="D151" i="3"/>
  <c r="E150" i="3"/>
  <c r="D150" i="3"/>
  <c r="F150" i="3"/>
  <c r="G150" i="3"/>
  <c r="H150" i="3"/>
  <c r="I150" i="3"/>
  <c r="G149" i="3"/>
  <c r="F149" i="3"/>
  <c r="E149" i="3"/>
  <c r="D149" i="3"/>
  <c r="H149" i="3"/>
  <c r="I149" i="3"/>
  <c r="I148" i="3"/>
  <c r="H148" i="3"/>
  <c r="E148" i="3"/>
  <c r="G148" i="3"/>
  <c r="F148" i="3"/>
  <c r="D148" i="3"/>
  <c r="H147" i="3"/>
  <c r="G147" i="3"/>
  <c r="F147" i="3"/>
  <c r="E147" i="3"/>
  <c r="D147" i="3"/>
  <c r="I147" i="3"/>
  <c r="K146" i="3"/>
  <c r="I146" i="3"/>
  <c r="H146" i="3"/>
  <c r="G146" i="3"/>
  <c r="L146" i="3" s="1"/>
  <c r="F146" i="3"/>
  <c r="E146" i="3"/>
  <c r="D146" i="3"/>
  <c r="K145" i="3"/>
  <c r="I145" i="3"/>
  <c r="H145" i="3"/>
  <c r="G145" i="3"/>
  <c r="L145" i="3" s="1"/>
  <c r="F145" i="3"/>
  <c r="E145" i="3"/>
  <c r="D145" i="3"/>
  <c r="K144" i="3"/>
  <c r="I144" i="3"/>
  <c r="H144" i="3"/>
  <c r="G144" i="3"/>
  <c r="L144" i="3" s="1"/>
  <c r="F144" i="3"/>
  <c r="E144" i="3"/>
  <c r="D144" i="3"/>
  <c r="K143" i="3"/>
  <c r="I143" i="3"/>
  <c r="H143" i="3"/>
  <c r="G143" i="3"/>
  <c r="L143" i="3" s="1"/>
  <c r="F143" i="3"/>
  <c r="E143" i="3"/>
  <c r="D143" i="3"/>
  <c r="K142" i="3"/>
  <c r="I142" i="3"/>
  <c r="H142" i="3"/>
  <c r="G142" i="3"/>
  <c r="L142" i="3" s="1"/>
  <c r="F142" i="3"/>
  <c r="E142" i="3"/>
  <c r="D142" i="3"/>
  <c r="K141" i="3"/>
  <c r="I141" i="3"/>
  <c r="H141" i="3"/>
  <c r="G141" i="3"/>
  <c r="L141" i="3" s="1"/>
  <c r="F141" i="3"/>
  <c r="E141" i="3"/>
  <c r="D141" i="3"/>
  <c r="I140" i="3"/>
  <c r="H140" i="3"/>
  <c r="G140" i="3"/>
  <c r="F140" i="3"/>
  <c r="E140" i="3"/>
  <c r="D140" i="3"/>
  <c r="I139" i="3"/>
  <c r="H139" i="3"/>
  <c r="G139" i="3"/>
  <c r="F139" i="3"/>
  <c r="E139" i="3"/>
  <c r="D139" i="3"/>
  <c r="I138" i="3"/>
  <c r="H138" i="3"/>
  <c r="G138" i="3"/>
  <c r="F138" i="3"/>
  <c r="E138" i="3"/>
  <c r="D138" i="3"/>
  <c r="I137" i="3"/>
  <c r="H137" i="3"/>
  <c r="G137" i="3"/>
  <c r="F137" i="3"/>
  <c r="E137" i="3"/>
  <c r="D137" i="3"/>
  <c r="I136" i="3"/>
  <c r="H136" i="3"/>
  <c r="G136" i="3"/>
  <c r="F136" i="3"/>
  <c r="E136" i="3"/>
  <c r="D136" i="3"/>
  <c r="I135" i="3"/>
  <c r="H135" i="3"/>
  <c r="G135" i="3"/>
  <c r="F135" i="3"/>
  <c r="E135" i="3"/>
  <c r="D135" i="3"/>
  <c r="K134" i="3"/>
  <c r="G134" i="3"/>
  <c r="L134" i="3" s="1"/>
  <c r="F134" i="3"/>
  <c r="E134" i="3"/>
  <c r="D134" i="3"/>
  <c r="H134" i="3"/>
  <c r="I134" i="3"/>
  <c r="D133" i="3"/>
  <c r="E133" i="3"/>
  <c r="F133" i="3"/>
  <c r="G133" i="3"/>
  <c r="L133" i="3" s="1"/>
  <c r="H133" i="3"/>
  <c r="I133" i="3"/>
  <c r="K133" i="3"/>
  <c r="E132" i="3"/>
  <c r="K132" i="3"/>
  <c r="D132" i="3"/>
  <c r="I132" i="3"/>
  <c r="H132" i="3"/>
  <c r="G132" i="3"/>
  <c r="L132" i="3" s="1"/>
  <c r="F132" i="3"/>
  <c r="G131" i="3"/>
  <c r="L131" i="3" s="1"/>
  <c r="K131" i="3"/>
  <c r="I131" i="3"/>
  <c r="H131" i="3"/>
  <c r="D131" i="3"/>
  <c r="E131" i="3"/>
  <c r="F131" i="3"/>
  <c r="D130" i="3"/>
  <c r="E130" i="3"/>
  <c r="F130" i="3"/>
  <c r="G130" i="3"/>
  <c r="L130" i="3" s="1"/>
  <c r="H130" i="3"/>
  <c r="I130" i="3"/>
  <c r="K130" i="3"/>
  <c r="F129" i="3"/>
  <c r="K129" i="3"/>
  <c r="I129" i="3"/>
  <c r="H129" i="3"/>
  <c r="G129" i="3"/>
  <c r="L129" i="3" s="1"/>
  <c r="E129" i="3"/>
  <c r="D129" i="3"/>
  <c r="I128" i="3"/>
  <c r="E128" i="3"/>
  <c r="D128" i="3"/>
  <c r="G128" i="3"/>
  <c r="H128" i="3"/>
  <c r="F128" i="3"/>
  <c r="H127" i="3"/>
  <c r="G127" i="3"/>
  <c r="F127" i="3"/>
  <c r="E127" i="3"/>
  <c r="D127" i="3"/>
  <c r="I127" i="3"/>
  <c r="G126" i="3"/>
  <c r="H126" i="3"/>
  <c r="F126" i="3"/>
  <c r="E126" i="3"/>
  <c r="D126" i="3"/>
  <c r="I126" i="3"/>
  <c r="I125" i="3"/>
  <c r="H125" i="3"/>
  <c r="G125" i="3"/>
  <c r="F125" i="3"/>
  <c r="E125" i="3"/>
  <c r="D125" i="3"/>
  <c r="H124" i="3"/>
  <c r="G124" i="3"/>
  <c r="E124" i="3"/>
  <c r="D124" i="3"/>
  <c r="I124" i="3"/>
  <c r="F124" i="3"/>
  <c r="F123" i="3"/>
  <c r="G123" i="3"/>
  <c r="H123" i="3"/>
  <c r="I123" i="3"/>
  <c r="D123" i="3"/>
  <c r="E123" i="3"/>
  <c r="D122" i="3"/>
  <c r="K122" i="3"/>
  <c r="I122" i="3"/>
  <c r="H122" i="3"/>
  <c r="G122" i="3"/>
  <c r="L122" i="3" s="1"/>
  <c r="F122" i="3"/>
  <c r="E122" i="3"/>
  <c r="K121" i="3"/>
  <c r="I121" i="3"/>
  <c r="H121" i="3"/>
  <c r="G121" i="3"/>
  <c r="L121" i="3" s="1"/>
  <c r="F121" i="3"/>
  <c r="E121" i="3"/>
  <c r="D121" i="3"/>
  <c r="H120" i="3"/>
  <c r="D120" i="3"/>
  <c r="E120" i="3"/>
  <c r="F120" i="3"/>
  <c r="G120" i="3"/>
  <c r="L120" i="3" s="1"/>
  <c r="I120" i="3"/>
  <c r="K120" i="3"/>
  <c r="K119" i="3"/>
  <c r="D119" i="3"/>
  <c r="F119" i="3"/>
  <c r="G119" i="3"/>
  <c r="L119" i="3" s="1"/>
  <c r="H119" i="3"/>
  <c r="I119" i="3"/>
  <c r="E119" i="3"/>
  <c r="D118" i="3"/>
  <c r="E118" i="3"/>
  <c r="G118" i="3"/>
  <c r="L118" i="3" s="1"/>
  <c r="H118" i="3"/>
  <c r="I118" i="3"/>
  <c r="F118" i="3"/>
  <c r="K118" i="3"/>
  <c r="D117" i="3"/>
  <c r="K117" i="3"/>
  <c r="F117" i="3"/>
  <c r="G117" i="3"/>
  <c r="L117" i="3" s="1"/>
  <c r="H117" i="3"/>
  <c r="E117" i="3"/>
  <c r="I117" i="3"/>
  <c r="I116" i="3"/>
  <c r="H116" i="3"/>
  <c r="G116" i="3"/>
  <c r="F116" i="3"/>
  <c r="E116" i="3"/>
  <c r="D116" i="3"/>
  <c r="F115" i="3"/>
  <c r="E115" i="3"/>
  <c r="G115" i="3"/>
  <c r="H115" i="3"/>
  <c r="I115" i="3"/>
  <c r="D115" i="3"/>
  <c r="F114" i="3"/>
  <c r="I114" i="3"/>
  <c r="G114" i="3"/>
  <c r="E114" i="3"/>
  <c r="H114" i="3"/>
  <c r="D114" i="3"/>
  <c r="D113" i="3"/>
  <c r="I113" i="3"/>
  <c r="H113" i="3"/>
  <c r="G113" i="3"/>
  <c r="F113" i="3"/>
  <c r="E113" i="3"/>
  <c r="E112" i="3"/>
  <c r="D112" i="3"/>
  <c r="I112" i="3"/>
  <c r="H112" i="3"/>
  <c r="G112" i="3"/>
  <c r="F112" i="3"/>
  <c r="G111" i="3"/>
  <c r="F111" i="3"/>
  <c r="H111" i="3"/>
  <c r="D111" i="3"/>
  <c r="E111" i="3"/>
  <c r="I111" i="3"/>
  <c r="K110" i="3"/>
  <c r="D110" i="3"/>
  <c r="F110" i="3"/>
  <c r="G110" i="3"/>
  <c r="L110" i="3" s="1"/>
  <c r="H110" i="3"/>
  <c r="I110" i="3"/>
  <c r="E110" i="3"/>
  <c r="E109" i="3"/>
  <c r="F109" i="3"/>
  <c r="H109" i="3"/>
  <c r="I109" i="3"/>
  <c r="G109" i="3"/>
  <c r="L109" i="3" s="1"/>
  <c r="K109" i="3"/>
  <c r="D109" i="3"/>
  <c r="H108" i="3"/>
  <c r="K108" i="3"/>
  <c r="I108" i="3"/>
  <c r="G108" i="3"/>
  <c r="L108" i="3" s="1"/>
  <c r="F108" i="3"/>
  <c r="E108" i="3"/>
  <c r="D108" i="3"/>
  <c r="D107" i="3"/>
  <c r="K107" i="3"/>
  <c r="I107" i="3"/>
  <c r="H107" i="3"/>
  <c r="G107" i="3"/>
  <c r="L107" i="3" s="1"/>
  <c r="F107" i="3"/>
  <c r="E107" i="3"/>
  <c r="K106" i="3"/>
  <c r="D106" i="3"/>
  <c r="E106" i="3"/>
  <c r="F106" i="3"/>
  <c r="G106" i="3"/>
  <c r="L106" i="3" s="1"/>
  <c r="H106" i="3"/>
  <c r="I106" i="3"/>
  <c r="I105" i="3"/>
  <c r="K105" i="3"/>
  <c r="E105" i="3"/>
  <c r="F105" i="3"/>
  <c r="G105" i="3"/>
  <c r="L105" i="3" s="1"/>
  <c r="H105" i="3"/>
  <c r="D105" i="3"/>
  <c r="I104" i="3"/>
  <c r="H104" i="3"/>
  <c r="G104" i="3"/>
  <c r="F104" i="3"/>
  <c r="E104" i="3"/>
  <c r="D104" i="3"/>
  <c r="F103" i="3"/>
  <c r="D103" i="3"/>
  <c r="I103" i="3"/>
  <c r="H103" i="3"/>
  <c r="E103" i="3"/>
  <c r="G103" i="3"/>
  <c r="G102" i="3"/>
  <c r="I102" i="3"/>
  <c r="H102" i="3"/>
  <c r="E102" i="3"/>
  <c r="F102" i="3"/>
  <c r="D102" i="3"/>
  <c r="E101" i="3"/>
  <c r="D101" i="3"/>
  <c r="F101" i="3"/>
  <c r="I101" i="3"/>
  <c r="H101" i="3"/>
  <c r="G101" i="3"/>
  <c r="F100" i="3"/>
  <c r="G100" i="3"/>
  <c r="H100" i="3"/>
  <c r="I100" i="3"/>
  <c r="D100" i="3"/>
  <c r="E100" i="3"/>
  <c r="D99" i="3"/>
  <c r="E99" i="3"/>
  <c r="F99" i="3"/>
  <c r="G99" i="3"/>
  <c r="H99" i="3"/>
  <c r="I99" i="3"/>
  <c r="E98" i="3"/>
  <c r="K98" i="3"/>
  <c r="I98" i="3"/>
  <c r="D98" i="3"/>
  <c r="H98" i="3"/>
  <c r="G98" i="3"/>
  <c r="L98" i="3" s="1"/>
  <c r="F98" i="3"/>
  <c r="K97" i="3"/>
  <c r="D97" i="3"/>
  <c r="E97" i="3"/>
  <c r="F97" i="3"/>
  <c r="G97" i="3"/>
  <c r="L97" i="3" s="1"/>
  <c r="H97" i="3"/>
  <c r="I97" i="3"/>
  <c r="K96" i="3"/>
  <c r="G96" i="3"/>
  <c r="L96" i="3" s="1"/>
  <c r="F96" i="3"/>
  <c r="E96" i="3"/>
  <c r="D96" i="3"/>
  <c r="I96" i="3"/>
  <c r="H96" i="3"/>
  <c r="D95" i="3"/>
  <c r="E95" i="3"/>
  <c r="F95" i="3"/>
  <c r="G95" i="3"/>
  <c r="L95" i="3" s="1"/>
  <c r="H95" i="3"/>
  <c r="I95" i="3"/>
  <c r="K95" i="3"/>
  <c r="K94" i="3"/>
  <c r="F94" i="3"/>
  <c r="G94" i="3"/>
  <c r="L94" i="3" s="1"/>
  <c r="H94" i="3"/>
  <c r="I94" i="3"/>
  <c r="D94" i="3"/>
  <c r="E94" i="3"/>
  <c r="I93" i="3"/>
  <c r="D93" i="3"/>
  <c r="H93" i="3"/>
  <c r="G93" i="3"/>
  <c r="L93" i="3" s="1"/>
  <c r="F93" i="3"/>
  <c r="E93" i="3"/>
  <c r="K93" i="3"/>
  <c r="D92" i="3"/>
  <c r="E92" i="3"/>
  <c r="F92" i="3"/>
  <c r="G92" i="3"/>
  <c r="H92" i="3"/>
  <c r="I92" i="3"/>
  <c r="I91" i="3"/>
  <c r="H91" i="3"/>
  <c r="G91" i="3"/>
  <c r="F91" i="3"/>
  <c r="D91" i="3"/>
  <c r="E91" i="3"/>
  <c r="I90" i="3"/>
  <c r="E90" i="3"/>
  <c r="H90" i="3"/>
  <c r="G90" i="3"/>
  <c r="F90" i="3"/>
  <c r="D90" i="3"/>
  <c r="G89" i="3"/>
  <c r="I89" i="3"/>
  <c r="H89" i="3"/>
  <c r="F89" i="3"/>
  <c r="E89" i="3"/>
  <c r="D89" i="3"/>
  <c r="I88" i="3"/>
  <c r="D88" i="3"/>
  <c r="F88" i="3"/>
  <c r="E88" i="3"/>
  <c r="G88" i="3"/>
  <c r="H88" i="3"/>
  <c r="I87" i="3"/>
  <c r="D87" i="3"/>
  <c r="G87" i="3"/>
  <c r="H87" i="3"/>
  <c r="F87" i="3"/>
  <c r="E87" i="3"/>
  <c r="H86" i="3"/>
  <c r="G86" i="3"/>
  <c r="L86" i="3" s="1"/>
  <c r="F86" i="3"/>
  <c r="E86" i="3"/>
  <c r="D86" i="3"/>
  <c r="I86" i="3"/>
  <c r="K86" i="3"/>
  <c r="F85" i="3"/>
  <c r="I85" i="3"/>
  <c r="K85" i="3"/>
  <c r="G85" i="3"/>
  <c r="L85" i="3" s="1"/>
  <c r="D85" i="3"/>
  <c r="E85" i="3"/>
  <c r="H85" i="3"/>
  <c r="E84" i="3"/>
  <c r="G84" i="3"/>
  <c r="L84" i="3" s="1"/>
  <c r="D84" i="3"/>
  <c r="K84" i="3"/>
  <c r="I84" i="3"/>
  <c r="H84" i="3"/>
  <c r="F84" i="3"/>
  <c r="D83" i="3"/>
  <c r="K83" i="3"/>
  <c r="I83" i="3"/>
  <c r="H83" i="3"/>
  <c r="G83" i="3"/>
  <c r="L83" i="3" s="1"/>
  <c r="F83" i="3"/>
  <c r="E83" i="3"/>
  <c r="K82" i="3"/>
  <c r="H82" i="3"/>
  <c r="G82" i="3"/>
  <c r="L82" i="3" s="1"/>
  <c r="F82" i="3"/>
  <c r="E82" i="3"/>
  <c r="D82" i="3"/>
  <c r="I82" i="3"/>
  <c r="D81" i="3"/>
  <c r="K81" i="3"/>
  <c r="I81" i="3"/>
  <c r="H81" i="3"/>
  <c r="G81" i="3"/>
  <c r="L81" i="3" s="1"/>
  <c r="F81" i="3"/>
  <c r="E81" i="3"/>
  <c r="D80" i="3"/>
  <c r="E80" i="3"/>
  <c r="G80" i="3"/>
  <c r="H80" i="3"/>
  <c r="I80" i="3"/>
  <c r="F80" i="3"/>
  <c r="D79" i="3"/>
  <c r="E79" i="3"/>
  <c r="F79" i="3"/>
  <c r="G79" i="3"/>
  <c r="H79" i="3"/>
  <c r="I79" i="3"/>
  <c r="I78" i="3"/>
  <c r="H78" i="3"/>
  <c r="G78" i="3"/>
  <c r="F78" i="3"/>
  <c r="E78" i="3"/>
  <c r="D78" i="3"/>
  <c r="I77" i="3"/>
  <c r="H77" i="3"/>
  <c r="G77" i="3"/>
  <c r="F77" i="3"/>
  <c r="E77" i="3"/>
  <c r="D77" i="3"/>
  <c r="I76" i="3"/>
  <c r="H76" i="3"/>
  <c r="G76" i="3"/>
  <c r="F76" i="3"/>
  <c r="E76" i="3"/>
  <c r="D76" i="3"/>
  <c r="I75" i="3"/>
  <c r="H75" i="3"/>
  <c r="G75" i="3"/>
  <c r="F75" i="3"/>
  <c r="E75" i="3"/>
  <c r="D75" i="3"/>
  <c r="K74" i="3"/>
  <c r="H74" i="3"/>
  <c r="G74" i="3"/>
  <c r="L74" i="3" s="1"/>
  <c r="F74" i="3"/>
  <c r="E74" i="3"/>
  <c r="D74" i="3"/>
  <c r="I74" i="3"/>
  <c r="D73" i="3"/>
  <c r="E73" i="3"/>
  <c r="F73" i="3"/>
  <c r="G73" i="3"/>
  <c r="L73" i="3" s="1"/>
  <c r="H73" i="3"/>
  <c r="I73" i="3"/>
  <c r="K73" i="3"/>
  <c r="D72" i="3"/>
  <c r="K72" i="3"/>
  <c r="E72" i="3"/>
  <c r="I72" i="3"/>
  <c r="H72" i="3"/>
  <c r="G72" i="3"/>
  <c r="L72" i="3" s="1"/>
  <c r="F72" i="3"/>
  <c r="D71" i="3"/>
  <c r="E71" i="3"/>
  <c r="F71" i="3"/>
  <c r="G71" i="3"/>
  <c r="L71" i="3" s="1"/>
  <c r="H71" i="3"/>
  <c r="I71" i="3"/>
  <c r="K71" i="3"/>
  <c r="K70" i="3"/>
  <c r="I70" i="3"/>
  <c r="F70" i="3"/>
  <c r="E70" i="3"/>
  <c r="D70" i="3"/>
  <c r="G70" i="3"/>
  <c r="L70" i="3" s="1"/>
  <c r="H70" i="3"/>
  <c r="D69" i="3"/>
  <c r="E69" i="3"/>
  <c r="F69" i="3"/>
  <c r="G69" i="3"/>
  <c r="L69" i="3" s="1"/>
  <c r="H69" i="3"/>
  <c r="I69" i="3"/>
  <c r="K69" i="3"/>
  <c r="H68" i="3"/>
  <c r="I68" i="3"/>
  <c r="E68" i="3"/>
  <c r="D68" i="3"/>
  <c r="F68" i="3"/>
  <c r="G68" i="3"/>
  <c r="I67" i="3"/>
  <c r="H67" i="3"/>
  <c r="E67" i="3"/>
  <c r="D67" i="3"/>
  <c r="F67" i="3"/>
  <c r="G67" i="3"/>
  <c r="D66" i="3"/>
  <c r="E66" i="3"/>
  <c r="F66" i="3"/>
  <c r="G66" i="3"/>
  <c r="H66" i="3"/>
  <c r="I66" i="3"/>
  <c r="E65" i="3"/>
  <c r="D65" i="3"/>
  <c r="F65" i="3"/>
  <c r="I65" i="3"/>
  <c r="H65" i="3"/>
  <c r="G65" i="3"/>
  <c r="I64" i="3"/>
  <c r="D64" i="3"/>
  <c r="E64" i="3"/>
  <c r="F64" i="3"/>
  <c r="G64" i="3"/>
  <c r="H64" i="3"/>
  <c r="F63" i="3"/>
  <c r="E63" i="3"/>
  <c r="H63" i="3"/>
  <c r="D63" i="3"/>
  <c r="I63" i="3"/>
  <c r="G63" i="3"/>
  <c r="K62" i="3"/>
  <c r="I62" i="3"/>
  <c r="H62" i="3"/>
  <c r="G62" i="3"/>
  <c r="L62" i="3" s="1"/>
  <c r="F62" i="3"/>
  <c r="E62" i="3"/>
  <c r="D62" i="3"/>
  <c r="K61" i="3"/>
  <c r="I61" i="3"/>
  <c r="G61" i="3"/>
  <c r="L61" i="3" s="1"/>
  <c r="F61" i="3"/>
  <c r="E61" i="3"/>
  <c r="D61" i="3"/>
  <c r="H61" i="3"/>
  <c r="G60" i="3"/>
  <c r="L60" i="3" s="1"/>
  <c r="K60" i="3"/>
  <c r="H60" i="3"/>
  <c r="I60" i="3"/>
  <c r="D60" i="3"/>
  <c r="E60" i="3"/>
  <c r="F60" i="3"/>
  <c r="E59" i="3"/>
  <c r="D59" i="3"/>
  <c r="F59" i="3"/>
  <c r="G59" i="3"/>
  <c r="L59" i="3" s="1"/>
  <c r="H59" i="3"/>
  <c r="I59" i="3"/>
  <c r="K59" i="3"/>
  <c r="G58" i="3"/>
  <c r="L58" i="3" s="1"/>
  <c r="F58" i="3"/>
  <c r="E58" i="3"/>
  <c r="H58" i="3"/>
  <c r="K58" i="3"/>
  <c r="I58" i="3"/>
  <c r="D58" i="3"/>
  <c r="K57" i="3"/>
  <c r="D57" i="3"/>
  <c r="E57" i="3"/>
  <c r="F57" i="3"/>
  <c r="G57" i="3"/>
  <c r="L57" i="3" s="1"/>
  <c r="H57" i="3"/>
  <c r="I57" i="3"/>
  <c r="E56" i="3"/>
  <c r="I56" i="3"/>
  <c r="H56" i="3"/>
  <c r="G56" i="3"/>
  <c r="F56" i="3"/>
  <c r="D56" i="3"/>
  <c r="F55" i="3"/>
  <c r="E55" i="3"/>
  <c r="D55" i="3"/>
  <c r="I55" i="3"/>
  <c r="H55" i="3"/>
  <c r="G55" i="3"/>
  <c r="D54" i="3"/>
  <c r="I54" i="3"/>
  <c r="F54" i="3"/>
  <c r="E54" i="3"/>
  <c r="G54" i="3"/>
  <c r="F53" i="3"/>
  <c r="D53" i="3"/>
  <c r="E53" i="3"/>
  <c r="G53" i="3"/>
  <c r="H53" i="3"/>
  <c r="I53" i="3"/>
  <c r="H52" i="3"/>
  <c r="I52" i="3"/>
  <c r="D52" i="3"/>
  <c r="E52" i="3"/>
  <c r="F52" i="3"/>
  <c r="G52" i="3"/>
  <c r="D51" i="3"/>
  <c r="I51" i="3"/>
  <c r="E51" i="3"/>
  <c r="F51" i="3"/>
  <c r="G51" i="3"/>
  <c r="H51" i="3"/>
  <c r="K50" i="3"/>
  <c r="F50" i="3"/>
  <c r="D50" i="3"/>
  <c r="E50" i="3"/>
  <c r="G50" i="3"/>
  <c r="L50" i="3" s="1"/>
  <c r="H50" i="3"/>
  <c r="I50" i="3"/>
  <c r="D49" i="3"/>
  <c r="E49" i="3"/>
  <c r="G49" i="3"/>
  <c r="L49" i="3" s="1"/>
  <c r="H49" i="3"/>
  <c r="I49" i="3"/>
  <c r="F49" i="3"/>
  <c r="K49" i="3"/>
  <c r="K48" i="3"/>
  <c r="I48" i="3"/>
  <c r="H48" i="3"/>
  <c r="G48" i="3"/>
  <c r="L48" i="3" s="1"/>
  <c r="F48" i="3"/>
  <c r="E48" i="3"/>
  <c r="D48" i="3"/>
  <c r="K47" i="3"/>
  <c r="D47" i="3"/>
  <c r="E47" i="3"/>
  <c r="F47" i="3"/>
  <c r="G47" i="3"/>
  <c r="L47" i="3" s="1"/>
  <c r="H47" i="3"/>
  <c r="I47" i="3"/>
  <c r="G46" i="3"/>
  <c r="L46" i="3" s="1"/>
  <c r="F46" i="3"/>
  <c r="E46" i="3"/>
  <c r="D46" i="3"/>
  <c r="K46" i="3"/>
  <c r="I46" i="3"/>
  <c r="H46" i="3"/>
  <c r="K45" i="3"/>
  <c r="I45" i="3"/>
  <c r="H45" i="3"/>
  <c r="G45" i="3"/>
  <c r="L45" i="3" s="1"/>
  <c r="F45" i="3"/>
  <c r="E45" i="3"/>
  <c r="D45" i="3"/>
  <c r="E44" i="3"/>
  <c r="D44" i="3"/>
  <c r="I44" i="3"/>
  <c r="H44" i="3"/>
  <c r="G44" i="3"/>
  <c r="F44" i="3"/>
  <c r="F43" i="3"/>
  <c r="E43" i="3"/>
  <c r="D43" i="3"/>
  <c r="G43" i="3"/>
  <c r="H43" i="3"/>
  <c r="I43" i="3"/>
  <c r="G42" i="3"/>
  <c r="D42" i="3"/>
  <c r="E42" i="3"/>
  <c r="F42" i="3"/>
  <c r="H42" i="3"/>
  <c r="I42" i="3"/>
  <c r="D41" i="3"/>
  <c r="E41" i="3"/>
  <c r="F41" i="3"/>
  <c r="G41" i="3"/>
  <c r="H41" i="3"/>
  <c r="I41" i="3"/>
  <c r="I40" i="3"/>
  <c r="H40" i="3"/>
  <c r="G40" i="3"/>
  <c r="F40" i="3"/>
  <c r="E40" i="3"/>
  <c r="D40" i="3"/>
  <c r="I39" i="3"/>
  <c r="H39" i="3"/>
  <c r="G39" i="3"/>
  <c r="F39" i="3"/>
  <c r="E39" i="3"/>
  <c r="D39" i="3"/>
  <c r="K38" i="3"/>
  <c r="I38" i="3"/>
  <c r="D38" i="3"/>
  <c r="H38" i="3"/>
  <c r="G38" i="3"/>
  <c r="L38" i="3" s="1"/>
  <c r="F38" i="3"/>
  <c r="E38" i="3"/>
  <c r="E37" i="3"/>
  <c r="F37" i="3"/>
  <c r="G37" i="3"/>
  <c r="L37" i="3" s="1"/>
  <c r="H37" i="3"/>
  <c r="I37" i="3"/>
  <c r="D37" i="3"/>
  <c r="K37" i="3"/>
  <c r="K36" i="3"/>
  <c r="I36" i="3"/>
  <c r="H36" i="3"/>
  <c r="G36" i="3"/>
  <c r="L36" i="3" s="1"/>
  <c r="F36" i="3"/>
  <c r="E36" i="3"/>
  <c r="D36" i="3"/>
  <c r="H35" i="3"/>
  <c r="E35" i="3"/>
  <c r="D35" i="3"/>
  <c r="G35" i="3"/>
  <c r="L35" i="3" s="1"/>
  <c r="I35" i="3"/>
  <c r="K35" i="3"/>
  <c r="F35" i="3"/>
  <c r="K34" i="3"/>
  <c r="I34" i="3"/>
  <c r="H34" i="3"/>
  <c r="G34" i="3"/>
  <c r="L34" i="3" s="1"/>
  <c r="F34" i="3"/>
  <c r="D34" i="3"/>
  <c r="E34" i="3"/>
  <c r="K33" i="3"/>
  <c r="I33" i="3"/>
  <c r="H33" i="3"/>
  <c r="G33" i="3"/>
  <c r="L33" i="3" s="1"/>
  <c r="F33" i="3"/>
  <c r="E33" i="3"/>
  <c r="D33" i="3"/>
  <c r="I32" i="3"/>
  <c r="G32" i="3"/>
  <c r="F32" i="3"/>
  <c r="E32" i="3"/>
  <c r="D32" i="3"/>
  <c r="I31" i="3"/>
  <c r="G31" i="3"/>
  <c r="F31" i="3"/>
  <c r="E31" i="3"/>
  <c r="D31" i="3"/>
  <c r="I30" i="3"/>
  <c r="G30" i="3"/>
  <c r="F30" i="3"/>
  <c r="E30" i="3"/>
  <c r="D30" i="3"/>
  <c r="I29" i="3"/>
  <c r="G29" i="3"/>
  <c r="F29" i="3"/>
  <c r="E29" i="3"/>
  <c r="D29" i="3"/>
  <c r="I28" i="3"/>
  <c r="G28" i="3"/>
  <c r="F28" i="3"/>
  <c r="E28" i="3"/>
  <c r="D28" i="3"/>
  <c r="I27" i="3"/>
  <c r="G27" i="3"/>
  <c r="F27" i="3"/>
  <c r="E27" i="3"/>
  <c r="D27" i="3"/>
  <c r="K26" i="3"/>
  <c r="I26" i="3"/>
  <c r="H26" i="3"/>
  <c r="G26" i="3"/>
  <c r="L26" i="3" s="1"/>
  <c r="F26" i="3"/>
  <c r="E26" i="3"/>
  <c r="D26" i="3"/>
  <c r="K25" i="3"/>
  <c r="I25" i="3"/>
  <c r="H25" i="3"/>
  <c r="G25" i="3"/>
  <c r="L25" i="3" s="1"/>
  <c r="F25" i="3"/>
  <c r="E25" i="3"/>
  <c r="D25" i="3"/>
  <c r="D24" i="3"/>
  <c r="K24" i="3"/>
  <c r="I24" i="3"/>
  <c r="H24" i="3"/>
  <c r="G24" i="3"/>
  <c r="L24" i="3" s="1"/>
  <c r="F24" i="3"/>
  <c r="E24" i="3"/>
  <c r="H23" i="3"/>
  <c r="I23" i="3"/>
  <c r="K23" i="3"/>
  <c r="G23" i="3"/>
  <c r="L23" i="3" s="1"/>
  <c r="D23" i="3"/>
  <c r="F23" i="3"/>
  <c r="E23" i="3"/>
  <c r="F22" i="3"/>
  <c r="I22" i="3"/>
  <c r="H22" i="3"/>
  <c r="G22" i="3"/>
  <c r="L22" i="3" s="1"/>
  <c r="K22" i="3"/>
  <c r="E22" i="3"/>
  <c r="D22" i="3"/>
  <c r="G21" i="3"/>
  <c r="L21" i="3" s="1"/>
  <c r="K21" i="3"/>
  <c r="I21" i="3"/>
  <c r="H21" i="3"/>
  <c r="F21" i="3"/>
  <c r="E21" i="3"/>
  <c r="D21" i="3"/>
  <c r="D20" i="3"/>
  <c r="H20" i="3"/>
  <c r="G20" i="3"/>
  <c r="F20" i="3"/>
  <c r="E20" i="3"/>
  <c r="I20" i="3"/>
  <c r="G19" i="3"/>
  <c r="D19" i="3"/>
  <c r="E19" i="3"/>
  <c r="F19" i="3"/>
  <c r="H19" i="3"/>
  <c r="I19" i="3"/>
  <c r="H18" i="3"/>
  <c r="G18" i="3"/>
  <c r="F18" i="3"/>
  <c r="I18" i="3"/>
  <c r="E18" i="3"/>
  <c r="D18" i="3"/>
  <c r="G17" i="3"/>
  <c r="F17" i="3"/>
  <c r="D17" i="3"/>
  <c r="E17" i="3"/>
  <c r="I17" i="3"/>
  <c r="H17" i="3"/>
  <c r="H16" i="3"/>
  <c r="G16" i="3"/>
  <c r="I16" i="3"/>
  <c r="F16" i="3"/>
  <c r="D16" i="3"/>
  <c r="E16" i="3"/>
  <c r="D15" i="3"/>
  <c r="E15" i="3"/>
  <c r="F15" i="3"/>
  <c r="H15" i="3"/>
  <c r="I15" i="3"/>
  <c r="G15" i="3"/>
  <c r="K14" i="3"/>
  <c r="F14" i="3"/>
  <c r="G14" i="3"/>
  <c r="L14" i="3" s="1"/>
  <c r="D14" i="3"/>
  <c r="E14" i="3"/>
  <c r="H14" i="3"/>
  <c r="I14" i="3"/>
  <c r="H13" i="3"/>
  <c r="F13" i="3"/>
  <c r="D13" i="3"/>
  <c r="E13" i="3"/>
  <c r="G13" i="3"/>
  <c r="L13" i="3" s="1"/>
  <c r="I13" i="3"/>
  <c r="K13" i="3"/>
  <c r="H12" i="3"/>
  <c r="I12" i="3"/>
  <c r="K12" i="3"/>
  <c r="G12" i="3"/>
  <c r="L12" i="3" s="1"/>
  <c r="F12" i="3"/>
  <c r="D12" i="3"/>
  <c r="E12" i="3"/>
  <c r="K11" i="3"/>
  <c r="I11" i="3"/>
  <c r="H11" i="3"/>
  <c r="F11" i="3"/>
  <c r="E11" i="3"/>
  <c r="D11" i="3"/>
  <c r="G11" i="3"/>
  <c r="L11" i="3" s="1"/>
  <c r="D10" i="3"/>
  <c r="I10" i="3"/>
  <c r="H10" i="3"/>
  <c r="K10" i="3"/>
  <c r="F10" i="3"/>
  <c r="E10" i="3"/>
  <c r="G10" i="3"/>
  <c r="L10" i="3" s="1"/>
  <c r="K9" i="3"/>
  <c r="I9" i="3"/>
  <c r="H9" i="3"/>
  <c r="F9" i="3"/>
  <c r="E9" i="3"/>
  <c r="D9" i="3"/>
  <c r="G9" i="3"/>
  <c r="L9" i="3" s="1"/>
  <c r="E11" i="8"/>
  <c r="E18" i="8"/>
  <c r="E9" i="8"/>
  <c r="E10" i="8"/>
  <c r="E12" i="8"/>
  <c r="E13" i="8"/>
  <c r="E14" i="8"/>
  <c r="E15" i="8"/>
  <c r="E16" i="8"/>
  <c r="E17" i="8"/>
  <c r="E19" i="8"/>
  <c r="E20" i="8"/>
  <c r="E21" i="8"/>
  <c r="E5" i="3"/>
  <c r="J24" i="2"/>
  <c r="D4" i="10"/>
  <c r="R18" i="2"/>
  <c r="D4" i="8"/>
  <c r="O18" i="2"/>
  <c r="K24" i="2"/>
  <c r="K18" i="2"/>
  <c r="I18" i="2"/>
  <c r="L18" i="2"/>
  <c r="N18" i="2"/>
  <c r="M18" i="2"/>
  <c r="P18" i="2"/>
  <c r="S18" i="2"/>
  <c r="I24" i="2"/>
  <c r="M24" i="2"/>
  <c r="O24" i="2"/>
  <c r="P24" i="2"/>
  <c r="R24" i="2"/>
  <c r="S24" i="2"/>
  <c r="D4" i="3"/>
  <c r="Q24" i="2"/>
  <c r="D4" i="9"/>
  <c r="H24" i="2"/>
  <c r="N24" i="2"/>
  <c r="L24" i="2"/>
  <c r="H18" i="2"/>
  <c r="J18" i="2"/>
  <c r="Q18" i="2"/>
  <c r="M48" i="3" l="1"/>
  <c r="N48" i="3"/>
  <c r="N46" i="3"/>
  <c r="M46" i="3"/>
  <c r="N27" i="6"/>
  <c r="O27" i="6" s="1"/>
  <c r="S27" i="6"/>
  <c r="D25" i="9" s="1"/>
  <c r="D9" i="9"/>
  <c r="D17" i="9"/>
  <c r="D18" i="9"/>
  <c r="G7" i="1"/>
  <c r="G36" i="1"/>
  <c r="C7" i="1"/>
  <c r="G20" i="4"/>
  <c r="L20" i="4"/>
  <c r="F17" i="4"/>
  <c r="K17" i="4"/>
  <c r="J17" i="4"/>
  <c r="M17" i="4"/>
  <c r="L17" i="4"/>
  <c r="J15" i="4"/>
  <c r="G15" i="4"/>
  <c r="K15" i="4"/>
  <c r="L13" i="4"/>
  <c r="K13" i="4"/>
  <c r="G13" i="4"/>
  <c r="F11" i="4"/>
  <c r="K11" i="4"/>
  <c r="G11" i="4"/>
  <c r="M11" i="4"/>
  <c r="J11" i="4"/>
  <c r="M10" i="4"/>
  <c r="L10" i="4"/>
  <c r="L9" i="4"/>
  <c r="J9" i="4"/>
  <c r="F9" i="4"/>
  <c r="K9" i="4"/>
  <c r="M158" i="3"/>
  <c r="N158" i="3"/>
  <c r="N157" i="3"/>
  <c r="M157" i="3"/>
  <c r="M156" i="3"/>
  <c r="N156" i="3"/>
  <c r="N155" i="3"/>
  <c r="M155" i="3"/>
  <c r="N154" i="3"/>
  <c r="M154" i="3"/>
  <c r="M153" i="3"/>
  <c r="N153" i="3"/>
  <c r="M146" i="3"/>
  <c r="N146" i="3"/>
  <c r="M145" i="3"/>
  <c r="N145" i="3"/>
  <c r="M144" i="3"/>
  <c r="N144" i="3"/>
  <c r="N143" i="3"/>
  <c r="M143" i="3"/>
  <c r="M142" i="3"/>
  <c r="N142" i="3"/>
  <c r="M141" i="3"/>
  <c r="N141" i="3"/>
  <c r="M134" i="3"/>
  <c r="N134" i="3"/>
  <c r="N133" i="3"/>
  <c r="M133" i="3"/>
  <c r="M132" i="3"/>
  <c r="N132" i="3"/>
  <c r="M131" i="3"/>
  <c r="N131" i="3"/>
  <c r="N130" i="3"/>
  <c r="M130" i="3"/>
  <c r="M129" i="3"/>
  <c r="N129" i="3"/>
  <c r="N122" i="3"/>
  <c r="M122" i="3"/>
  <c r="M121" i="3"/>
  <c r="N121" i="3"/>
  <c r="N120" i="3"/>
  <c r="M120" i="3"/>
  <c r="M119" i="3"/>
  <c r="N119" i="3"/>
  <c r="N118" i="3"/>
  <c r="M118" i="3"/>
  <c r="M117" i="3"/>
  <c r="N117" i="3"/>
  <c r="N110" i="3"/>
  <c r="M110" i="3"/>
  <c r="N109" i="3"/>
  <c r="M109" i="3"/>
  <c r="N108" i="3"/>
  <c r="M108" i="3"/>
  <c r="M107" i="3"/>
  <c r="N107" i="3"/>
  <c r="N106" i="3"/>
  <c r="M106" i="3"/>
  <c r="N105" i="3"/>
  <c r="M105" i="3"/>
  <c r="M98" i="3"/>
  <c r="N98" i="3"/>
  <c r="N97" i="3"/>
  <c r="M97" i="3"/>
  <c r="M96" i="3"/>
  <c r="N96" i="3"/>
  <c r="N95" i="3"/>
  <c r="M95" i="3"/>
  <c r="M94" i="3"/>
  <c r="N94" i="3"/>
  <c r="M93" i="3"/>
  <c r="N93" i="3"/>
  <c r="M86" i="3"/>
  <c r="N86" i="3"/>
  <c r="N85" i="3"/>
  <c r="M85" i="3"/>
  <c r="N84" i="3"/>
  <c r="M84" i="3"/>
  <c r="M83" i="3"/>
  <c r="N83" i="3"/>
  <c r="N82" i="3"/>
  <c r="M82" i="3"/>
  <c r="M81" i="3"/>
  <c r="N81" i="3"/>
  <c r="M74" i="3"/>
  <c r="N74" i="3"/>
  <c r="N73" i="3"/>
  <c r="M73" i="3"/>
  <c r="M72" i="3"/>
  <c r="N72" i="3"/>
  <c r="N71" i="3"/>
  <c r="M71" i="3"/>
  <c r="M70" i="3"/>
  <c r="N70" i="3"/>
  <c r="M69" i="3"/>
  <c r="N69" i="3"/>
  <c r="M62" i="3"/>
  <c r="N62" i="3"/>
  <c r="M61" i="3"/>
  <c r="N61" i="3"/>
  <c r="N60" i="3"/>
  <c r="M60" i="3"/>
  <c r="N59" i="3"/>
  <c r="M59" i="3"/>
  <c r="M58" i="3"/>
  <c r="N58" i="3"/>
  <c r="N57" i="3"/>
  <c r="M57" i="3"/>
  <c r="N50" i="3"/>
  <c r="M50" i="3"/>
  <c r="N49" i="3"/>
  <c r="M49" i="3"/>
  <c r="M47" i="3"/>
  <c r="N47" i="3"/>
  <c r="M45" i="3"/>
  <c r="N45" i="3"/>
  <c r="M38" i="3"/>
  <c r="N38" i="3"/>
  <c r="N37" i="3"/>
  <c r="M37" i="3"/>
  <c r="M36" i="3"/>
  <c r="N36" i="3"/>
  <c r="N35" i="3"/>
  <c r="M35" i="3"/>
  <c r="M34" i="3"/>
  <c r="N34" i="3"/>
  <c r="M33" i="3"/>
  <c r="N33" i="3"/>
  <c r="M26" i="3"/>
  <c r="N26" i="3"/>
  <c r="M25" i="3"/>
  <c r="N25" i="3"/>
  <c r="M24" i="3"/>
  <c r="N24" i="3"/>
  <c r="N23" i="3"/>
  <c r="M23" i="3"/>
  <c r="N22" i="3"/>
  <c r="M22" i="3"/>
  <c r="M21" i="3"/>
  <c r="N21" i="3"/>
  <c r="N14" i="3"/>
  <c r="M14" i="3"/>
  <c r="N13" i="3"/>
  <c r="M13" i="3"/>
  <c r="N12" i="3"/>
  <c r="M12" i="3"/>
  <c r="N11" i="3"/>
  <c r="M11" i="3"/>
  <c r="M10" i="3"/>
  <c r="N10" i="3"/>
  <c r="N9" i="3"/>
  <c r="M9" i="3"/>
  <c r="J83" i="3"/>
  <c r="J155" i="3"/>
  <c r="J71" i="3"/>
  <c r="J119" i="3"/>
  <c r="J67" i="3"/>
  <c r="K67" i="3" s="1"/>
  <c r="L67" i="3" s="1"/>
  <c r="J31" i="3"/>
  <c r="K31" i="3" s="1"/>
  <c r="J55" i="3"/>
  <c r="K55" i="3" s="1"/>
  <c r="L55" i="3" s="1"/>
  <c r="J115" i="3"/>
  <c r="K115" i="3" s="1"/>
  <c r="L115" i="3" s="1"/>
  <c r="J43" i="3"/>
  <c r="K43" i="3" s="1"/>
  <c r="L43" i="3" s="1"/>
  <c r="J103" i="3"/>
  <c r="K103" i="3" s="1"/>
  <c r="L103" i="3" s="1"/>
  <c r="J151" i="3"/>
  <c r="K151" i="3" s="1"/>
  <c r="L151" i="3" s="1"/>
  <c r="J139" i="3"/>
  <c r="K139" i="3" s="1"/>
  <c r="L139" i="3" s="1"/>
  <c r="J19" i="3"/>
  <c r="K19" i="3" s="1"/>
  <c r="L19" i="3" s="1"/>
  <c r="J52" i="3"/>
  <c r="K52" i="3" s="1"/>
  <c r="L52" i="3" s="1"/>
  <c r="J28" i="3"/>
  <c r="K28" i="3" s="1"/>
  <c r="J100" i="3"/>
  <c r="K100" i="3" s="1"/>
  <c r="L100" i="3" s="1"/>
  <c r="J64" i="3"/>
  <c r="K64" i="3" s="1"/>
  <c r="L64" i="3" s="1"/>
  <c r="J112" i="3"/>
  <c r="K112" i="3" s="1"/>
  <c r="L112" i="3" s="1"/>
  <c r="J148" i="3"/>
  <c r="K148" i="3" s="1"/>
  <c r="L148" i="3" s="1"/>
  <c r="J136" i="3"/>
  <c r="K136" i="3" s="1"/>
  <c r="L136" i="3" s="1"/>
  <c r="J16" i="3"/>
  <c r="K16" i="3" s="1"/>
  <c r="L16" i="3" s="1"/>
  <c r="J40" i="3"/>
  <c r="K40" i="3" s="1"/>
  <c r="L40" i="3" s="1"/>
  <c r="J120" i="3"/>
  <c r="J84" i="3"/>
  <c r="J156" i="3"/>
  <c r="J72" i="3"/>
  <c r="J96" i="3"/>
  <c r="J144" i="3"/>
  <c r="J108" i="3"/>
  <c r="J60" i="3"/>
  <c r="J48" i="3"/>
  <c r="J24" i="3"/>
  <c r="J12" i="3"/>
  <c r="J36" i="3"/>
  <c r="J132" i="3"/>
  <c r="J34" i="3"/>
  <c r="J106" i="3"/>
  <c r="J22" i="3"/>
  <c r="J142" i="3"/>
  <c r="J58" i="3"/>
  <c r="J94" i="3"/>
  <c r="J130" i="3"/>
  <c r="J46" i="3"/>
  <c r="J10" i="3"/>
  <c r="J13" i="3"/>
  <c r="J49" i="3"/>
  <c r="J61" i="3"/>
  <c r="J109" i="3"/>
  <c r="J37" i="3"/>
  <c r="J97" i="3"/>
  <c r="J133" i="3"/>
  <c r="J145" i="3"/>
  <c r="J25" i="3"/>
  <c r="J15" i="3"/>
  <c r="K15" i="3" s="1"/>
  <c r="L15" i="3" s="1"/>
  <c r="J63" i="3"/>
  <c r="K63" i="3" s="1"/>
  <c r="L63" i="3" s="1"/>
  <c r="J135" i="3"/>
  <c r="K135" i="3" s="1"/>
  <c r="L135" i="3" s="1"/>
  <c r="J27" i="3"/>
  <c r="K27" i="3" s="1"/>
  <c r="J147" i="3"/>
  <c r="K147" i="3" s="1"/>
  <c r="L147" i="3" s="1"/>
  <c r="J51" i="3"/>
  <c r="K51" i="3" s="1"/>
  <c r="L51" i="3" s="1"/>
  <c r="J99" i="3"/>
  <c r="K99" i="3" s="1"/>
  <c r="L99" i="3" s="1"/>
  <c r="J111" i="3"/>
  <c r="K111" i="3" s="1"/>
  <c r="L111" i="3" s="1"/>
  <c r="J39" i="3"/>
  <c r="K39" i="3" s="1"/>
  <c r="L39" i="3" s="1"/>
  <c r="J38" i="3"/>
  <c r="J134" i="3"/>
  <c r="J26" i="3"/>
  <c r="J50" i="3"/>
  <c r="J110" i="3"/>
  <c r="J14" i="3"/>
  <c r="J98" i="3"/>
  <c r="J146" i="3"/>
  <c r="J62" i="3"/>
  <c r="J137" i="3"/>
  <c r="K137" i="3" s="1"/>
  <c r="L137" i="3" s="1"/>
  <c r="J41" i="3"/>
  <c r="K41" i="3" s="1"/>
  <c r="L41" i="3" s="1"/>
  <c r="J149" i="3"/>
  <c r="K149" i="3" s="1"/>
  <c r="L149" i="3" s="1"/>
  <c r="J29" i="3"/>
  <c r="K29" i="3" s="1"/>
  <c r="J113" i="3"/>
  <c r="K113" i="3" s="1"/>
  <c r="L113" i="3" s="1"/>
  <c r="J53" i="3"/>
  <c r="K53" i="3" s="1"/>
  <c r="L53" i="3" s="1"/>
  <c r="J65" i="3"/>
  <c r="K65" i="3" s="1"/>
  <c r="L65" i="3" s="1"/>
  <c r="J101" i="3"/>
  <c r="K101" i="3" s="1"/>
  <c r="L101" i="3" s="1"/>
  <c r="J17" i="3"/>
  <c r="K17" i="3" s="1"/>
  <c r="L17" i="3" s="1"/>
  <c r="J20" i="3"/>
  <c r="K20" i="3" s="1"/>
  <c r="L20" i="3" s="1"/>
  <c r="J152" i="3"/>
  <c r="K152" i="3" s="1"/>
  <c r="L152" i="3" s="1"/>
  <c r="J140" i="3"/>
  <c r="K140" i="3" s="1"/>
  <c r="L140" i="3" s="1"/>
  <c r="J104" i="3"/>
  <c r="K104" i="3" s="1"/>
  <c r="L104" i="3" s="1"/>
  <c r="J68" i="3"/>
  <c r="K68" i="3" s="1"/>
  <c r="L68" i="3" s="1"/>
  <c r="J116" i="3"/>
  <c r="K116" i="3" s="1"/>
  <c r="L116" i="3" s="1"/>
  <c r="J44" i="3"/>
  <c r="K44" i="3" s="1"/>
  <c r="L44" i="3" s="1"/>
  <c r="J32" i="3"/>
  <c r="K32" i="3" s="1"/>
  <c r="J56" i="3"/>
  <c r="K56" i="3" s="1"/>
  <c r="L56" i="3" s="1"/>
  <c r="J70" i="3"/>
  <c r="J82" i="3"/>
  <c r="J154" i="3"/>
  <c r="J118" i="3"/>
  <c r="J122" i="3"/>
  <c r="J74" i="3"/>
  <c r="J86" i="3"/>
  <c r="J158" i="3"/>
  <c r="J124" i="3"/>
  <c r="K124" i="3" s="1"/>
  <c r="L124" i="3" s="1"/>
  <c r="J76" i="3"/>
  <c r="K76" i="3" s="1"/>
  <c r="L76" i="3" s="1"/>
  <c r="J88" i="3"/>
  <c r="K88" i="3" s="1"/>
  <c r="L88" i="3" s="1"/>
  <c r="J160" i="3"/>
  <c r="K160" i="3" s="1"/>
  <c r="L160" i="3" s="1"/>
  <c r="J125" i="3"/>
  <c r="K125" i="3" s="1"/>
  <c r="L125" i="3" s="1"/>
  <c r="J161" i="3"/>
  <c r="K161" i="3" s="1"/>
  <c r="L161" i="3" s="1"/>
  <c r="J77" i="3"/>
  <c r="K77" i="3" s="1"/>
  <c r="L77" i="3" s="1"/>
  <c r="J89" i="3"/>
  <c r="K89" i="3" s="1"/>
  <c r="L89" i="3" s="1"/>
  <c r="J79" i="3"/>
  <c r="K79" i="3" s="1"/>
  <c r="L79" i="3" s="1"/>
  <c r="J163" i="3"/>
  <c r="K163" i="3" s="1"/>
  <c r="L163" i="3" s="1"/>
  <c r="J127" i="3"/>
  <c r="K127" i="3" s="1"/>
  <c r="L127" i="3" s="1"/>
  <c r="J91" i="3"/>
  <c r="K91" i="3" s="1"/>
  <c r="L91" i="3" s="1"/>
  <c r="J128" i="3"/>
  <c r="K128" i="3" s="1"/>
  <c r="L128" i="3" s="1"/>
  <c r="J92" i="3"/>
  <c r="K92" i="3" s="1"/>
  <c r="L92" i="3" s="1"/>
  <c r="J80" i="3"/>
  <c r="K80" i="3" s="1"/>
  <c r="L80" i="3" s="1"/>
  <c r="J164" i="3"/>
  <c r="K164" i="3" s="1"/>
  <c r="L164" i="3" s="1"/>
  <c r="J90" i="3"/>
  <c r="K90" i="3" s="1"/>
  <c r="L90" i="3" s="1"/>
  <c r="J78" i="3"/>
  <c r="K78" i="3" s="1"/>
  <c r="L78" i="3" s="1"/>
  <c r="J126" i="3"/>
  <c r="K126" i="3" s="1"/>
  <c r="L126" i="3" s="1"/>
  <c r="J162" i="3"/>
  <c r="K162" i="3" s="1"/>
  <c r="L162" i="3" s="1"/>
  <c r="J81" i="3"/>
  <c r="J117" i="3"/>
  <c r="J153" i="3"/>
  <c r="J69" i="3"/>
  <c r="J87" i="3"/>
  <c r="K87" i="3" s="1"/>
  <c r="L87" i="3" s="1"/>
  <c r="J75" i="3"/>
  <c r="K75" i="3" s="1"/>
  <c r="L75" i="3" s="1"/>
  <c r="J159" i="3"/>
  <c r="K159" i="3" s="1"/>
  <c r="L159" i="3" s="1"/>
  <c r="J123" i="3"/>
  <c r="K123" i="3" s="1"/>
  <c r="L123" i="3" s="1"/>
  <c r="J121" i="3"/>
  <c r="J85" i="3"/>
  <c r="J73" i="3"/>
  <c r="J157" i="3"/>
  <c r="J105" i="3"/>
  <c r="J93" i="3"/>
  <c r="J57" i="3"/>
  <c r="J141" i="3"/>
  <c r="J21" i="3"/>
  <c r="J33" i="3"/>
  <c r="J9" i="3"/>
  <c r="J129" i="3"/>
  <c r="J45" i="3"/>
  <c r="J107" i="3"/>
  <c r="J59" i="3"/>
  <c r="J95" i="3"/>
  <c r="J11" i="3"/>
  <c r="J143" i="3"/>
  <c r="J35" i="3"/>
  <c r="J131" i="3"/>
  <c r="J23" i="3"/>
  <c r="J47" i="3"/>
  <c r="J66" i="3"/>
  <c r="K66" i="3" s="1"/>
  <c r="L66" i="3" s="1"/>
  <c r="J18" i="3"/>
  <c r="K18" i="3" s="1"/>
  <c r="L18" i="3" s="1"/>
  <c r="J30" i="3"/>
  <c r="K30" i="3" s="1"/>
  <c r="J138" i="3"/>
  <c r="K138" i="3" s="1"/>
  <c r="L138" i="3" s="1"/>
  <c r="J54" i="3"/>
  <c r="K54" i="3" s="1"/>
  <c r="L54" i="3" s="1"/>
  <c r="J102" i="3"/>
  <c r="K102" i="3" s="1"/>
  <c r="L102" i="3" s="1"/>
  <c r="J150" i="3"/>
  <c r="K150" i="3" s="1"/>
  <c r="L150" i="3" s="1"/>
  <c r="J42" i="3"/>
  <c r="K42" i="3" s="1"/>
  <c r="L42" i="3" s="1"/>
  <c r="J114" i="3"/>
  <c r="K114" i="3" s="1"/>
  <c r="L114" i="3" s="1"/>
  <c r="H32" i="3" l="1"/>
  <c r="L32" i="3" s="1"/>
  <c r="H31" i="3"/>
  <c r="L31" i="3" s="1"/>
  <c r="H29" i="3"/>
  <c r="L29" i="3" s="1"/>
  <c r="H30" i="3"/>
  <c r="L30" i="3" s="1"/>
  <c r="H27" i="3"/>
  <c r="L27" i="3" s="1"/>
  <c r="H28" i="3"/>
  <c r="L28" i="3" s="1"/>
  <c r="D18" i="1"/>
  <c r="D20" i="1"/>
  <c r="D21" i="1"/>
  <c r="D23" i="1"/>
  <c r="D25" i="1"/>
  <c r="D27" i="1"/>
  <c r="D28" i="1"/>
  <c r="D17" i="1"/>
  <c r="D19" i="1"/>
  <c r="D22" i="1"/>
  <c r="D24" i="1"/>
  <c r="D26" i="1"/>
  <c r="M67" i="3"/>
  <c r="N67" i="3"/>
  <c r="N31" i="3"/>
  <c r="M31" i="3"/>
  <c r="M55" i="3"/>
  <c r="N55" i="3"/>
  <c r="N115" i="3"/>
  <c r="M115" i="3"/>
  <c r="M43" i="3"/>
  <c r="N43" i="3"/>
  <c r="N103" i="3"/>
  <c r="M103" i="3"/>
  <c r="M151" i="3"/>
  <c r="N151" i="3"/>
  <c r="N139" i="3"/>
  <c r="M139" i="3"/>
  <c r="M19" i="3"/>
  <c r="N19" i="3"/>
  <c r="N52" i="3"/>
  <c r="M52" i="3"/>
  <c r="M100" i="3"/>
  <c r="N100" i="3"/>
  <c r="M64" i="3"/>
  <c r="N64" i="3"/>
  <c r="M112" i="3"/>
  <c r="N112" i="3"/>
  <c r="N148" i="3"/>
  <c r="M148" i="3"/>
  <c r="M136" i="3"/>
  <c r="N136" i="3"/>
  <c r="N16" i="3"/>
  <c r="M16" i="3"/>
  <c r="N40" i="3"/>
  <c r="M40" i="3"/>
  <c r="N15" i="3"/>
  <c r="M15" i="3"/>
  <c r="N63" i="3"/>
  <c r="M63" i="3"/>
  <c r="N135" i="3"/>
  <c r="M135" i="3"/>
  <c r="N147" i="3"/>
  <c r="M147" i="3"/>
  <c r="M51" i="3"/>
  <c r="N51" i="3"/>
  <c r="M99" i="3"/>
  <c r="N99" i="3"/>
  <c r="M111" i="3"/>
  <c r="N111" i="3"/>
  <c r="M39" i="3"/>
  <c r="N39" i="3"/>
  <c r="N137" i="3"/>
  <c r="M137" i="3"/>
  <c r="N41" i="3"/>
  <c r="M41" i="3"/>
  <c r="N149" i="3"/>
  <c r="M149" i="3"/>
  <c r="M113" i="3"/>
  <c r="N113" i="3"/>
  <c r="N53" i="3"/>
  <c r="M53" i="3"/>
  <c r="M65" i="3"/>
  <c r="N65" i="3"/>
  <c r="N101" i="3"/>
  <c r="M101" i="3"/>
  <c r="N17" i="3"/>
  <c r="M17" i="3"/>
  <c r="M20" i="3"/>
  <c r="N20" i="3"/>
  <c r="M152" i="3"/>
  <c r="N152" i="3"/>
  <c r="N140" i="3"/>
  <c r="M140" i="3"/>
  <c r="N104" i="3"/>
  <c r="M104" i="3"/>
  <c r="N68" i="3"/>
  <c r="M68" i="3"/>
  <c r="M116" i="3"/>
  <c r="N116" i="3"/>
  <c r="N44" i="3"/>
  <c r="M44" i="3"/>
  <c r="M56" i="3"/>
  <c r="N56" i="3"/>
  <c r="M124" i="3"/>
  <c r="N124" i="3"/>
  <c r="N76" i="3"/>
  <c r="M76" i="3"/>
  <c r="N88" i="3"/>
  <c r="M88" i="3"/>
  <c r="M160" i="3"/>
  <c r="N160" i="3"/>
  <c r="N125" i="3"/>
  <c r="M125" i="3"/>
  <c r="N161" i="3"/>
  <c r="M161" i="3"/>
  <c r="M77" i="3"/>
  <c r="N77" i="3"/>
  <c r="M89" i="3"/>
  <c r="N89" i="3"/>
  <c r="M79" i="3"/>
  <c r="N79" i="3"/>
  <c r="N163" i="3"/>
  <c r="M163" i="3"/>
  <c r="M127" i="3"/>
  <c r="N127" i="3"/>
  <c r="M91" i="3"/>
  <c r="N91" i="3"/>
  <c r="M128" i="3"/>
  <c r="N128" i="3"/>
  <c r="M92" i="3"/>
  <c r="N92" i="3"/>
  <c r="M80" i="3"/>
  <c r="N80" i="3"/>
  <c r="N164" i="3"/>
  <c r="M164" i="3"/>
  <c r="N90" i="3"/>
  <c r="M90" i="3"/>
  <c r="N78" i="3"/>
  <c r="M78" i="3"/>
  <c r="M126" i="3"/>
  <c r="N126" i="3"/>
  <c r="N162" i="3"/>
  <c r="M162" i="3"/>
  <c r="M87" i="3"/>
  <c r="N87" i="3"/>
  <c r="M75" i="3"/>
  <c r="N75" i="3"/>
  <c r="M159" i="3"/>
  <c r="N159" i="3"/>
  <c r="N123" i="3"/>
  <c r="M123" i="3"/>
  <c r="M66" i="3"/>
  <c r="N66" i="3"/>
  <c r="N18" i="3"/>
  <c r="M18" i="3"/>
  <c r="N138" i="3"/>
  <c r="M138" i="3"/>
  <c r="M54" i="3"/>
  <c r="N54" i="3"/>
  <c r="N102" i="3"/>
  <c r="M102" i="3"/>
  <c r="M150" i="3"/>
  <c r="N150" i="3"/>
  <c r="M42" i="3"/>
  <c r="N42" i="3"/>
  <c r="N114" i="3"/>
  <c r="M114" i="3"/>
  <c r="N28" i="3" l="1"/>
  <c r="M28" i="3"/>
  <c r="N32" i="3"/>
  <c r="M32" i="3"/>
  <c r="N29" i="3"/>
  <c r="M29" i="3"/>
  <c r="N30" i="3"/>
  <c r="M30" i="3"/>
  <c r="M27" i="3"/>
  <c r="N27" i="3"/>
  <c r="M5" i="3"/>
  <c r="D16" i="9"/>
  <c r="E6" i="3" l="1"/>
  <c r="C12" i="1"/>
  <c r="E26" i="1" l="1"/>
  <c r="F26" i="1" s="1"/>
  <c r="E22" i="1"/>
  <c r="F22" i="1" s="1"/>
  <c r="E19" i="1"/>
  <c r="F19" i="1" s="1"/>
  <c r="E17" i="1"/>
  <c r="F17" i="1" s="1"/>
  <c r="K7" i="1"/>
  <c r="G34" i="1"/>
  <c r="G35" i="1" s="1"/>
  <c r="E28" i="1"/>
  <c r="F28" i="1" s="1"/>
  <c r="E27" i="1"/>
  <c r="F27" i="1" s="1"/>
  <c r="E25" i="1"/>
  <c r="F25" i="1" s="1"/>
  <c r="E24" i="1"/>
  <c r="F24" i="1" s="1"/>
  <c r="E23" i="1"/>
  <c r="F23" i="1" s="1"/>
  <c r="E21" i="1"/>
  <c r="F21" i="1" s="1"/>
  <c r="E20" i="1"/>
  <c r="F20" i="1" s="1"/>
  <c r="E18" i="1"/>
  <c r="F18" i="1" s="1"/>
  <c r="D20" i="9"/>
  <c r="D19" i="9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10" i="1" l="1"/>
  <c r="G10" i="1"/>
  <c r="Q38" i="4"/>
  <c r="O38" i="4"/>
  <c r="N38" i="4"/>
  <c r="P38" i="4"/>
  <c r="O37" i="4"/>
  <c r="P37" i="4"/>
  <c r="Q37" i="4"/>
  <c r="N37" i="4"/>
  <c r="O36" i="4"/>
  <c r="P36" i="4"/>
  <c r="Q36" i="4"/>
  <c r="N36" i="4"/>
  <c r="Q35" i="4"/>
  <c r="O35" i="4"/>
  <c r="N35" i="4"/>
  <c r="P35" i="4"/>
  <c r="N34" i="4"/>
  <c r="Q34" i="4"/>
  <c r="O34" i="4"/>
  <c r="P34" i="4"/>
  <c r="O33" i="4"/>
  <c r="Q33" i="4"/>
  <c r="N33" i="4"/>
  <c r="P33" i="4"/>
  <c r="O32" i="4"/>
  <c r="P32" i="4"/>
  <c r="Q32" i="4"/>
  <c r="N32" i="4"/>
  <c r="Q31" i="4"/>
  <c r="N31" i="4"/>
  <c r="O31" i="4"/>
  <c r="P31" i="4"/>
  <c r="N30" i="4"/>
  <c r="Q30" i="4"/>
  <c r="P30" i="4"/>
  <c r="O30" i="4"/>
  <c r="P29" i="4"/>
  <c r="Q29" i="4"/>
  <c r="O29" i="4"/>
  <c r="N29" i="4"/>
  <c r="P28" i="4"/>
  <c r="O28" i="4"/>
  <c r="Q28" i="4"/>
  <c r="N28" i="4"/>
  <c r="Q27" i="4"/>
  <c r="O27" i="4"/>
  <c r="N27" i="4"/>
  <c r="P27" i="4"/>
  <c r="N26" i="4"/>
  <c r="O26" i="4"/>
  <c r="P26" i="4"/>
  <c r="Q26" i="4"/>
  <c r="O25" i="4"/>
  <c r="Q25" i="4"/>
  <c r="P25" i="4"/>
  <c r="N25" i="4"/>
  <c r="P24" i="4"/>
  <c r="O24" i="4"/>
  <c r="Q24" i="4"/>
  <c r="N24" i="4"/>
  <c r="Q23" i="4"/>
  <c r="O23" i="4"/>
  <c r="P23" i="4"/>
  <c r="N23" i="4"/>
  <c r="P22" i="4"/>
  <c r="Q22" i="4"/>
  <c r="N22" i="4"/>
  <c r="O22" i="4"/>
  <c r="N21" i="4"/>
  <c r="P21" i="4"/>
  <c r="O21" i="4"/>
  <c r="Q21" i="4"/>
  <c r="Q20" i="4"/>
  <c r="P20" i="4"/>
  <c r="O20" i="4"/>
  <c r="N20" i="4"/>
  <c r="N19" i="4"/>
  <c r="Q19" i="4"/>
  <c r="O19" i="4"/>
  <c r="P19" i="4"/>
  <c r="P18" i="4"/>
  <c r="O18" i="4"/>
  <c r="Q18" i="4"/>
  <c r="N18" i="4"/>
  <c r="O17" i="4"/>
  <c r="N17" i="4"/>
  <c r="P17" i="4"/>
  <c r="Q17" i="4"/>
  <c r="O16" i="4"/>
  <c r="P16" i="4"/>
  <c r="Q16" i="4"/>
  <c r="N16" i="4"/>
  <c r="N15" i="4"/>
  <c r="P15" i="4"/>
  <c r="Q15" i="4"/>
  <c r="O15" i="4"/>
  <c r="P14" i="4"/>
  <c r="Q14" i="4"/>
  <c r="N14" i="4"/>
  <c r="O14" i="4"/>
  <c r="Q13" i="4"/>
  <c r="P13" i="4"/>
  <c r="O13" i="4"/>
  <c r="N13" i="4"/>
  <c r="Q12" i="4"/>
  <c r="N12" i="4"/>
  <c r="O12" i="4"/>
  <c r="P12" i="4"/>
  <c r="O11" i="4"/>
  <c r="N11" i="4"/>
  <c r="P11" i="4"/>
  <c r="Q11" i="4"/>
  <c r="O10" i="4"/>
  <c r="Q10" i="4"/>
  <c r="N10" i="4"/>
  <c r="P10" i="4"/>
  <c r="P9" i="4"/>
  <c r="N9" i="4"/>
  <c r="O9" i="4"/>
  <c r="Q9" i="4"/>
  <c r="D21" i="9" l="1"/>
  <c r="K35" i="1"/>
  <c r="L35" i="1" s="1"/>
  <c r="K37" i="1"/>
  <c r="L37" i="1" s="1"/>
  <c r="K36" i="1"/>
  <c r="L36" i="1" s="1"/>
  <c r="K38" i="1"/>
  <c r="L38" i="1" s="1"/>
</calcChain>
</file>

<file path=xl/sharedStrings.xml><?xml version="1.0" encoding="utf-8"?>
<sst xmlns="http://schemas.openxmlformats.org/spreadsheetml/2006/main" count="728" uniqueCount="377">
  <si>
    <t>RM.</t>
  </si>
  <si>
    <t>Budżet IT</t>
  </si>
  <si>
    <t>PRZYKŁAD HIPOTETYCZNY</t>
  </si>
  <si>
    <t>Plan roczny (PLN)</t>
  </si>
  <si>
    <t>Wykonanie okresu (PLN)</t>
  </si>
  <si>
    <t>Prognoza roku (PLN)</t>
  </si>
  <si>
    <t>Odchylenie prognozy</t>
  </si>
  <si>
    <t>PLN bez VAT. Zamknięte miesiące: wykonanie. Pozostałe: otwarte zobowiązania i prognoza niezakontraktowana.</t>
  </si>
  <si>
    <t>Miesiąc</t>
  </si>
  <si>
    <t>Plan PLN</t>
  </si>
  <si>
    <t>Wykonanie / prognoza</t>
  </si>
  <si>
    <t>Odchylenie PLN</t>
  </si>
  <si>
    <t>Sty</t>
  </si>
  <si>
    <t>Lut</t>
  </si>
  <si>
    <t>Mar</t>
  </si>
  <si>
    <t>Kwi</t>
  </si>
  <si>
    <t>Maj</t>
  </si>
  <si>
    <t>Cze</t>
  </si>
  <si>
    <t>Lip</t>
  </si>
  <si>
    <t>Sie</t>
  </si>
  <si>
    <t>Wrz</t>
  </si>
  <si>
    <t>Paź</t>
  </si>
  <si>
    <t>Lis</t>
  </si>
  <si>
    <t>Gru</t>
  </si>
  <si>
    <t>Zobowiązania, odnowienia i alokacja na biznes</t>
  </si>
  <si>
    <t>Otwarte do końca roku (PLN)</t>
  </si>
  <si>
    <t>Jednostka biznesowa</t>
  </si>
  <si>
    <t>Prognoza PLN</t>
  </si>
  <si>
    <t>Udział</t>
  </si>
  <si>
    <t>Otwarte poza rokiem (PLN)</t>
  </si>
  <si>
    <t>Przeterminowane etapy</t>
  </si>
  <si>
    <t>Odnowienia do przeglądu</t>
  </si>
  <si>
    <t>Decyzje i uzgodnienia</t>
  </si>
  <si>
    <t>Decyzja / temat</t>
  </si>
  <si>
    <t>Uzasadnienie</t>
  </si>
  <si>
    <t>Właściciel</t>
  </si>
  <si>
    <t>Termin</t>
  </si>
  <si>
    <t>Status</t>
  </si>
  <si>
    <t>Etap MES w kolejnym roku</t>
  </si>
  <si>
    <t>90 000 PLN poza rokiem</t>
  </si>
  <si>
    <t>Applications</t>
  </si>
  <si>
    <t>Do decyzji</t>
  </si>
  <si>
    <t>Rozliczenie umowy ERP</t>
  </si>
  <si>
    <t>26 000 PLN otwarte</t>
  </si>
  <si>
    <t>W toku</t>
  </si>
  <si>
    <t>Odchylenie sieci</t>
  </si>
  <si>
    <t>4 000 PLN ponad plan</t>
  </si>
  <si>
    <t>Infrastructure</t>
  </si>
  <si>
    <t>Alokacja roczna opiera się na kluczach w Parametrach. Pełny TCO wymaga dodatkowo kosztów cyklu życia.</t>
  </si>
  <si>
    <t>Rafał Mokrowiecki   mokrowiecki.pl   M2 v1.0   2026-11-01</t>
  </si>
  <si>
    <t>Parametry i klucze</t>
  </si>
  <si>
    <t>PRZYKŁAD HIPOTETYCZNY. Dane nie opisują rzeczywistej firmy.</t>
  </si>
  <si>
    <t>Wariant:</t>
  </si>
  <si>
    <t>Firma</t>
  </si>
  <si>
    <t>Firma modelowa</t>
  </si>
  <si>
    <t>PLN bez VAT. Rok kalendarzowy.</t>
  </si>
  <si>
    <t>Rok budżetu</t>
  </si>
  <si>
    <t>Zamknięte miesiące (0–12)</t>
  </si>
  <si>
    <t>Wariant (1–3)</t>
  </si>
  <si>
    <t>Wariant zmienia tylko przyszłą część niezakontraktowaną.</t>
  </si>
  <si>
    <t>Aktywny wariant</t>
  </si>
  <si>
    <t>Data raportu</t>
  </si>
  <si>
    <t>Przegląd odnowień: dni</t>
  </si>
  <si>
    <t>Kontrola importu: wiersze</t>
  </si>
  <si>
    <t>Kontrola importu: suma PLN</t>
  </si>
  <si>
    <t>Właściciel raportu</t>
  </si>
  <si>
    <t>IT owner</t>
  </si>
  <si>
    <t>Kolor akcentowy</t>
  </si>
  <si>
    <t>#FF4A1F</t>
  </si>
  <si>
    <t>Utrzymanie: aktywna korekta</t>
  </si>
  <si>
    <t>Bazowy</t>
  </si>
  <si>
    <t>Wzrost kosztów</t>
  </si>
  <si>
    <t>Ograniczenie zakresu</t>
  </si>
  <si>
    <t>Rozwój: aktywna korekta</t>
  </si>
  <si>
    <t>Jednostki biznesowe</t>
  </si>
  <si>
    <t>Produkcja</t>
  </si>
  <si>
    <t>Logistyka</t>
  </si>
  <si>
    <t>Sprzedaż</t>
  </si>
  <si>
    <t>Administracja</t>
  </si>
  <si>
    <t>Klucze alokacji: liczby jednostek, nie gotowe procenty</t>
  </si>
  <si>
    <t>ID</t>
  </si>
  <si>
    <t>Nazwa</t>
  </si>
  <si>
    <t>Jednostka klucza</t>
  </si>
  <si>
    <t>Podstawa i okres</t>
  </si>
  <si>
    <t>Suma</t>
  </si>
  <si>
    <t>Błędy</t>
  </si>
  <si>
    <t>PROD</t>
  </si>
  <si>
    <t>Produkcja bezpośrednio</t>
  </si>
  <si>
    <t>Przypisanie bezpośrednie</t>
  </si>
  <si>
    <t>Przykład, 2027</t>
  </si>
  <si>
    <t>LOG</t>
  </si>
  <si>
    <t>Logistyka bezpośrednio</t>
  </si>
  <si>
    <t>USERS</t>
  </si>
  <si>
    <t>Użytkownicy</t>
  </si>
  <si>
    <t>Liczba użytkowników</t>
  </si>
  <si>
    <t>ERP</t>
  </si>
  <si>
    <t>Wykorzystanie ERP</t>
  </si>
  <si>
    <t>Udział wykorzystania</t>
  </si>
  <si>
    <t>STORAGE</t>
  </si>
  <si>
    <t>Zasoby danych</t>
  </si>
  <si>
    <t>Wolumen danych</t>
  </si>
  <si>
    <t>ASSETS</t>
  </si>
  <si>
    <t>Urządzenia</t>
  </si>
  <si>
    <t>Liczba urządzeń</t>
  </si>
  <si>
    <t>HOURS</t>
  </si>
  <si>
    <t>Nakład pracy IT</t>
  </si>
  <si>
    <t>Godziny wsparcia</t>
  </si>
  <si>
    <t>Mapowanie klucza eksportu ERP na pozycję budżetu</t>
  </si>
  <si>
    <t>Klucz ERP</t>
  </si>
  <si>
    <t>ID budżetu</t>
  </si>
  <si>
    <t>Opis mapowania</t>
  </si>
  <si>
    <t>Źródło / właściciel</t>
  </si>
  <si>
    <t>ERP-IT01</t>
  </si>
  <si>
    <t>IT01</t>
  </si>
  <si>
    <t>Licencje stanowiskowe</t>
  </si>
  <si>
    <t>ERP-IT02</t>
  </si>
  <si>
    <t>IT02</t>
  </si>
  <si>
    <t>Utrzymanie ERP</t>
  </si>
  <si>
    <t>ERP-IT03</t>
  </si>
  <si>
    <t>IT03</t>
  </si>
  <si>
    <t>Backup i odtwarzanie</t>
  </si>
  <si>
    <t>ERP-IT04</t>
  </si>
  <si>
    <t>IT04</t>
  </si>
  <si>
    <t>Ochrona środowiska</t>
  </si>
  <si>
    <t>ERP-IT05</t>
  </si>
  <si>
    <t>IT05</t>
  </si>
  <si>
    <t>Odświeżenie sieci</t>
  </si>
  <si>
    <t>ERP-IT06</t>
  </si>
  <si>
    <t>IT06</t>
  </si>
  <si>
    <t>Projekt WMS</t>
  </si>
  <si>
    <t>ERP-IT07</t>
  </si>
  <si>
    <t>IT07</t>
  </si>
  <si>
    <t>Projekt MES</t>
  </si>
  <si>
    <t>ERP-IT08</t>
  </si>
  <si>
    <t>IT08</t>
  </si>
  <si>
    <t>Usługi chmurowe</t>
  </si>
  <si>
    <t>ERP-IT09</t>
  </si>
  <si>
    <t>IT09</t>
  </si>
  <si>
    <t>Zespół IT</t>
  </si>
  <si>
    <t>ERP-IT10</t>
  </si>
  <si>
    <t>IT10</t>
  </si>
  <si>
    <t>Prace wydajnościowe ERP</t>
  </si>
  <si>
    <t>ERP-IT11</t>
  </si>
  <si>
    <t>IT11</t>
  </si>
  <si>
    <t>Rozwój kompetencji</t>
  </si>
  <si>
    <t>ERP-IT12</t>
  </si>
  <si>
    <t>IT12</t>
  </si>
  <si>
    <t>Rezerwa zarządcza</t>
  </si>
  <si>
    <t>ERP-IT13</t>
  </si>
  <si>
    <t>IT13</t>
  </si>
  <si>
    <t>Praca poza planem</t>
  </si>
  <si>
    <t>Model miesięczny</t>
  </si>
  <si>
    <t>Parametry poprawne</t>
  </si>
  <si>
    <t>Błędy źródeł</t>
  </si>
  <si>
    <t>Braki prognozy</t>
  </si>
  <si>
    <t>Prognoza kompletna</t>
  </si>
  <si>
    <t>Pozycja</t>
  </si>
  <si>
    <t>Plan</t>
  </si>
  <si>
    <t>Wykonanie</t>
  </si>
  <si>
    <t>Otwarte zobowiązania</t>
  </si>
  <si>
    <t>Baza niezakontraktowana</t>
  </si>
  <si>
    <t>Korekta wariantu</t>
  </si>
  <si>
    <t>Aktywna prognoza swobodna</t>
  </si>
  <si>
    <t>Odchylenie</t>
  </si>
  <si>
    <t>Brak danych</t>
  </si>
  <si>
    <t>Alokacja na biznes</t>
  </si>
  <si>
    <t>Klucz</t>
  </si>
  <si>
    <t>Jednostka</t>
  </si>
  <si>
    <t>Suma klucza</t>
  </si>
  <si>
    <t>Plan roczny</t>
  </si>
  <si>
    <t>Prognoza roku</t>
  </si>
  <si>
    <t>Waga 1</t>
  </si>
  <si>
    <t>Waga 2</t>
  </si>
  <si>
    <t>Waga 3</t>
  </si>
  <si>
    <t>Waga 4</t>
  </si>
  <si>
    <t>Plan zatwierdzony</t>
  </si>
  <si>
    <t>Run / Change</t>
  </si>
  <si>
    <t>OpEx / CapEx</t>
  </si>
  <si>
    <t>Klucz alokacji</t>
  </si>
  <si>
    <t>Do poprawy</t>
  </si>
  <si>
    <t>Workplace</t>
  </si>
  <si>
    <t>Run</t>
  </si>
  <si>
    <t>OpEx</t>
  </si>
  <si>
    <t>Security</t>
  </si>
  <si>
    <t>CapEx</t>
  </si>
  <si>
    <t>Change</t>
  </si>
  <si>
    <t>IT management</t>
  </si>
  <si>
    <t>Umowy i etapy zobowiązań</t>
  </si>
  <si>
    <t>Partner</t>
  </si>
  <si>
    <t>Etap / zakres</t>
  </si>
  <si>
    <t>Termin ujęcia</t>
  </si>
  <si>
    <t>Kwota</t>
  </si>
  <si>
    <t>Zmiana zatwierdzona</t>
  </si>
  <si>
    <t>Odnowienie</t>
  </si>
  <si>
    <t>Termin decyzji</t>
  </si>
  <si>
    <t>Rozliczone</t>
  </si>
  <si>
    <t>Otwarte</t>
  </si>
  <si>
    <t>Miesiąc prognozy</t>
  </si>
  <si>
    <t>Odnowienie do przeglądu</t>
  </si>
  <si>
    <t>Ponad zobowiązanie</t>
  </si>
  <si>
    <t>IT01-7</t>
  </si>
  <si>
    <t>Partner IT01</t>
  </si>
  <si>
    <t>Etap 7</t>
  </si>
  <si>
    <t>IT03-7</t>
  </si>
  <si>
    <t>Partner IT03</t>
  </si>
  <si>
    <t>IT04-7</t>
  </si>
  <si>
    <t>Partner IT04</t>
  </si>
  <si>
    <t>IT01-8</t>
  </si>
  <si>
    <t>Etap 8</t>
  </si>
  <si>
    <t>IT03-8</t>
  </si>
  <si>
    <t>IT04-8</t>
  </si>
  <si>
    <t>IT01-9</t>
  </si>
  <si>
    <t>Etap 9</t>
  </si>
  <si>
    <t>IT03-9</t>
  </si>
  <si>
    <t>IT04-9</t>
  </si>
  <si>
    <t>IT01-10</t>
  </si>
  <si>
    <t>Etap 10</t>
  </si>
  <si>
    <t>IT03-10</t>
  </si>
  <si>
    <t>IT04-10</t>
  </si>
  <si>
    <t>IT01-11</t>
  </si>
  <si>
    <t>Etap 11</t>
  </si>
  <si>
    <t>IT03-11</t>
  </si>
  <si>
    <t>IT04-11</t>
  </si>
  <si>
    <t>IT01-12</t>
  </si>
  <si>
    <t>Etap 12</t>
  </si>
  <si>
    <t>IT03-12</t>
  </si>
  <si>
    <t>IT04-12</t>
  </si>
  <si>
    <t>ERP-ANNUAL</t>
  </si>
  <si>
    <t>Partner ERP</t>
  </si>
  <si>
    <t>Annual support</t>
  </si>
  <si>
    <t>WMS-2</t>
  </si>
  <si>
    <t>Partner WMS</t>
  </si>
  <si>
    <t>Acceptance milestone</t>
  </si>
  <si>
    <t>MES-NEXT</t>
  </si>
  <si>
    <t>Partner MES</t>
  </si>
  <si>
    <t>Next-year milestone</t>
  </si>
  <si>
    <t>Dane wykonania z ERP</t>
  </si>
  <si>
    <t>RowID</t>
  </si>
  <si>
    <t>Date</t>
  </si>
  <si>
    <t>ERPKey</t>
  </si>
  <si>
    <t>CommitmentID</t>
  </si>
  <si>
    <t>Counterparty</t>
  </si>
  <si>
    <t>Description</t>
  </si>
  <si>
    <t>AmountPLN</t>
  </si>
  <si>
    <t>Batch</t>
  </si>
  <si>
    <t>W okresie</t>
  </si>
  <si>
    <t>Poza okresem</t>
  </si>
  <si>
    <t>EX-IT01-1</t>
  </si>
  <si>
    <t>Monthly IT01</t>
  </si>
  <si>
    <t>example.csv</t>
  </si>
  <si>
    <t>EX-IT03-1</t>
  </si>
  <si>
    <t>Monthly IT03</t>
  </si>
  <si>
    <t>EX-IT04-1</t>
  </si>
  <si>
    <t>Monthly IT04</t>
  </si>
  <si>
    <t>EX-IT08-1</t>
  </si>
  <si>
    <t>Partner IT08</t>
  </si>
  <si>
    <t>Monthly IT08</t>
  </si>
  <si>
    <t>EX-IT09-1</t>
  </si>
  <si>
    <t>Partner IT09</t>
  </si>
  <si>
    <t>Monthly IT09</t>
  </si>
  <si>
    <t>EX-IT01-2</t>
  </si>
  <si>
    <t>EX-IT03-2</t>
  </si>
  <si>
    <t>EX-IT04-2</t>
  </si>
  <si>
    <t>EX-IT08-2</t>
  </si>
  <si>
    <t>EX-IT09-2</t>
  </si>
  <si>
    <t>EX-IT01-3</t>
  </si>
  <si>
    <t>EX-IT03-3</t>
  </si>
  <si>
    <t>EX-IT04-3</t>
  </si>
  <si>
    <t>EX-IT08-3</t>
  </si>
  <si>
    <t>EX-IT09-3</t>
  </si>
  <si>
    <t>EX-IT01-4</t>
  </si>
  <si>
    <t>EX-IT03-4</t>
  </si>
  <si>
    <t>EX-IT04-4</t>
  </si>
  <si>
    <t>EX-IT08-4</t>
  </si>
  <si>
    <t>EX-IT09-4</t>
  </si>
  <si>
    <t>EX-IT01-5</t>
  </si>
  <si>
    <t>EX-IT03-5</t>
  </si>
  <si>
    <t>EX-IT04-5</t>
  </si>
  <si>
    <t>EX-IT08-5</t>
  </si>
  <si>
    <t>EX-IT09-5</t>
  </si>
  <si>
    <t>EX-IT01-6</t>
  </si>
  <si>
    <t>EX-IT03-6</t>
  </si>
  <si>
    <t>EX-IT04-6</t>
  </si>
  <si>
    <t>EX-IT08-6</t>
  </si>
  <si>
    <t>EX-IT09-6</t>
  </si>
  <si>
    <t>EX-ERP-1</t>
  </si>
  <si>
    <t>Annual support part</t>
  </si>
  <si>
    <t>EX-ERP-CREDIT</t>
  </si>
  <si>
    <t>Credit note</t>
  </si>
  <si>
    <t>EX-NETWORK</t>
  </si>
  <si>
    <t>Partner network</t>
  </si>
  <si>
    <t>Network refresh</t>
  </si>
  <si>
    <t>EX-WMS</t>
  </si>
  <si>
    <t>First stage</t>
  </si>
  <si>
    <t>EX-PERF</t>
  </si>
  <si>
    <t>Performance work</t>
  </si>
  <si>
    <t>EX-NEW</t>
  </si>
  <si>
    <t>Unplanned work</t>
  </si>
  <si>
    <t>Prognoza niezakontraktowana</t>
  </si>
  <si>
    <t>Przyszła baza</t>
  </si>
  <si>
    <t>Uzgodnienia i jakość danych</t>
  </si>
  <si>
    <t>Kontrola</t>
  </si>
  <si>
    <t>Wynik</t>
  </si>
  <si>
    <t>Interpretacja</t>
  </si>
  <si>
    <t>Parametry roku i okresu</t>
  </si>
  <si>
    <t>0 = ustawiono poprawny rok, okres i wariant</t>
  </si>
  <si>
    <t>Błędy pozycji planu</t>
  </si>
  <si>
    <t>Szczegóły w Planie</t>
  </si>
  <si>
    <t>Błędy eksportu ERP</t>
  </si>
  <si>
    <t>Duplikaty, brak mapowania, daty lub powiązania</t>
  </si>
  <si>
    <t>Błędy zobowiązań</t>
  </si>
  <si>
    <t>Szczegóły przy etapach</t>
  </si>
  <si>
    <t>Błędy prognozy wejściowej</t>
  </si>
  <si>
    <t>Wymagane ID i 12 wartości; zera są jawne</t>
  </si>
  <si>
    <t>Błędy kluczy alokacji</t>
  </si>
  <si>
    <t>Klucz wymaga jednostki, podstawy i dodatniej sumy</t>
  </si>
  <si>
    <t>Błędy mapowania ERP</t>
  </si>
  <si>
    <t>Jeden klucz ERP wskazuje jeden ID budżetu</t>
  </si>
  <si>
    <t>Brakujące wyniki modelu</t>
  </si>
  <si>
    <t>Uzupełnij brakującą prognozę lub aktywny wariant</t>
  </si>
  <si>
    <t>Plan: różnica PLN</t>
  </si>
  <si>
    <t>Oczekiwana różnica 0,00</t>
  </si>
  <si>
    <t>Wykonanie: różnica PLN</t>
  </si>
  <si>
    <t>Uzgodnienie także wychwytuje pominięte przypisania</t>
  </si>
  <si>
    <t>Zobowiązania: różnica PLN</t>
  </si>
  <si>
    <t>Otwarte etapy ujęte dokładnie raz</t>
  </si>
  <si>
    <t>Prognoza: różnica PLN</t>
  </si>
  <si>
    <t>Wykonanie + otwarte + aktywna część swobodna</t>
  </si>
  <si>
    <t>Alokacja: różnica PLN</t>
  </si>
  <si>
    <t>Kwoty alokacji sumują się do prognozy roku; kontrola do 0,01 PLN</t>
  </si>
  <si>
    <t>Import: różnica liczby wierszy</t>
  </si>
  <si>
    <t>n.a. = nie podano sumy kontrolnej eksportu</t>
  </si>
  <si>
    <t>Import: różnica sumy PLN</t>
  </si>
  <si>
    <t>Suma całego importu, przed filtrem okresu</t>
  </si>
  <si>
    <t>Dokumenty poza okresem</t>
  </si>
  <si>
    <t>Informacja: nie są wykonaniem bieżącego okresu</t>
  </si>
  <si>
    <t>Rozliczenie ponad zobowiązanie PLN</t>
  </si>
  <si>
    <t>Sprawdź zwiększenie zakresu lub przypisanie dokumentu</t>
  </si>
  <si>
    <t>Jak pracować z M2</t>
  </si>
  <si>
    <t>Zagadnienie</t>
  </si>
  <si>
    <t>Zasada pracy</t>
  </si>
  <si>
    <t>Zakres</t>
  </si>
  <si>
    <t>Roczny budżet zarządczy IT, PLN bez VAT. Zakupy wg miesiąca dokumentu; CapEx wg wartości zakupu, bez amortyzacji. Wewnętrzny koszt zespołu wg uzgodnionej zasady finansowej.</t>
  </si>
  <si>
    <t>Rozpoczęcie</t>
  </si>
  <si>
    <t>Ustaw firmę, rok, zamknięte miesiące i właściciela w Parametrach. Jeden selektor wariantu steruje aktywną prognozą.</t>
  </si>
  <si>
    <t>Nadaj unikalny ID pozycji, właściciela, Run/Change, OpEx/CapEx i klucz alokacji. Wpisz 12 kwot miesięcznych, w tym jawne zera.</t>
  </si>
  <si>
    <t>Mapowanie ERP</t>
  </si>
  <si>
    <t>Każdy klucz eksportu przypisz do jednego ID budżetu w Parametrach. Różne klucze ERP mogą wskazywać tę samą pozycję. Klucze nie mogą się powtarzać.</t>
  </si>
  <si>
    <t>Import</t>
  </si>
  <si>
    <t>Użyj lokalnego importera pełnego eksportu CSV albo wklej osiem standardowych kolumn do ERP C9:J1008. Kolumny formuł zaczynają się od L.</t>
  </si>
  <si>
    <t>Wykonaniem są dokumenty z wybranego roku i zamkniętych miesięcy. Pozostałe pozostają w danych i są wykazywane osobno. Korekty mają znak ujemny.</t>
  </si>
  <si>
    <t>Zobowiązania</t>
  </si>
  <si>
    <t>Każdy etap rozliczenia ma własny unikalny ID. Podaj termin, kwotę i zatwierdzoną zmianę. Dokumenty wykonania wiąż z ID tego etapu.</t>
  </si>
  <si>
    <t>Bez podwójnego liczenia</t>
  </si>
  <si>
    <t>Otwarte zobowiązanie to kwota i zatwierdzona zmiana pomniejszone o rozliczone wykonanie. Prognoza niezakontraktowana nie zawiera żadnych kwot objętych otwartymi zobowiązaniami.</t>
  </si>
  <si>
    <t>Prognoza</t>
  </si>
  <si>
    <t>Jeden wiersz na pozycję i 12 liczb. Miesiące historyczne są pomijane. Wpisz zero, gdy nie przewidujesz kwoty niezakontraktowanej. Wymagane puste pole oznacza brak kompletnej prognozy.</t>
  </si>
  <si>
    <t>Warianty</t>
  </si>
  <si>
    <t>Wybrane korekty miesięczne zmieniają tylko przyszłe kwoty niezakontraktowane. Wykonanie i zobowiązania umowne pozostają bez zmian. Porównuj wyniki, zmieniając selektor.</t>
  </si>
  <si>
    <t>Zaległe etapy</t>
  </si>
  <si>
    <t>Otwarte etapy z terminem w zamkniętym okresie trafiają do pierwszego otwartego miesiąca. Zweryfikuj termin. Po grudniu pozostają poza rokiem, bez trzynastego miesiąca raportu.</t>
  </si>
  <si>
    <t>Alokacja</t>
  </si>
  <si>
    <t>Wprowadź mierzalne ilości klucza, jednostkę, źródło i okres. Przypisanie bezpośrednie to klucz 1/0. Aktualne klucze roczne dzielą prognozę całego roku; ich zmiana może zmienić podział historii.</t>
  </si>
  <si>
    <t>Zakres TCO</t>
  </si>
  <si>
    <t>To roczna alokacja budżetu. Pełny TCO obejmuje dodatkowo nabycie, eksploatację, pracę wewnętrzną, zmiany i wycofanie rozwiązania w odpowiednim horyzoncie; nie jest tu obliczany.</t>
  </si>
  <si>
    <t>Identyfikacja firmy</t>
  </si>
  <si>
    <t>Firma, rok i właściciel są ustawiane centralnie. Dołączone narzędzie podmienia logo i akcent raportu bez edycji formuł.</t>
  </si>
  <si>
    <t>Dyscyplina pliku</t>
  </si>
  <si>
    <t>Pola bursztynowe są wejściami. Liczbowe wejścia mają kolor niebieski, formuły lokalne czarny, odwołania między arkuszami zielony. Ochrona arkusza ogranicza przypadkowe zmiany, nie szyfruje pliku.</t>
  </si>
  <si>
    <t>Cykl miesięczny</t>
  </si>
  <si>
    <t>Jeden właściciel raportu importuje pełny eksport, sprawdza uzgodnienia, aktualizuje zobowiązania i prognozę, przegląda odnowienia, przelicza i zapisuje wersję z datą.</t>
  </si>
  <si>
    <t>Pojemność</t>
  </si>
  <si>
    <t>30 pozycji, 1000 wierszy ERP, 100 etapów, 12 kluczy alokacji, 4 jednostki biznesowe. Nie wklejaj danych poza przygotowanymi obszarami.</t>
  </si>
  <si>
    <t>Kiedy migrować</t>
  </si>
  <si>
    <t>Potrzebę bazy lub systemu planowania oceń przy wymaganiach akceptacji, pracy równoległej, uprawnień do wierszy, historii zmian i integracji. Żadna kwota budżetu nie jest technicznym limitem Excela.</t>
  </si>
  <si>
    <t>Źródło i wersja</t>
  </si>
  <si>
    <t>Przykład jest w całości hipotetyczny. Opracowanie modelu: Rafał Mokrowiecki, M2 v1.0, 2026-11-01. Bezpłatnie do wykorzystania i dostosowania we własnej organizacji.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</si>
</sst>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yyyy\-mm\-dd"/>
    <numFmt numFmtId="165" formatCode="mmm"/>
    <numFmt numFmtId="166" formatCode="0.0%;\(0.0%\);&quot;–&quot;"/>
    <numFmt numFmtId="167" formatCode="#,##0.00;\(#,##0.00\);&quot;–&quot;"/>
    <numFmt numFmtId="168" formatCode="mmm\-yy"/>
    <numFmt numFmtId="169" formatCode="#,##0;\(#,##0\);&quot;–&quot;"/>
  </numFmts>
  <fonts count="15">
    <font>
      <sz val="11"/>
      <name val="Carlito"/>
    </font>
    <font>
      <sz val="10"/>
      <color rgb="FF18191B"/>
      <name val="Arial"/>
    </font>
    <font>
      <b/>
      <sz val="16"/>
      <color rgb="FF18191B"/>
      <name val="Arial"/>
    </font>
    <font>
      <i/>
      <sz val="10"/>
      <color rgb="FF5C6267"/>
      <name val="Arial"/>
    </font>
    <font>
      <sz val="10"/>
      <color rgb="FF18704A"/>
      <name val="Arial"/>
    </font>
    <font>
      <sz val="10"/>
      <color rgb="FF174B9C"/>
      <name val="Arial"/>
    </font>
    <font>
      <b/>
      <sz val="10"/>
      <color rgb="FFFFFFFF"/>
      <name val="Arial"/>
    </font>
    <font>
      <b/>
      <sz val="11"/>
      <color rgb="FF18191B"/>
      <name val="Arial"/>
    </font>
    <font>
      <b/>
      <sz val="16"/>
      <color rgb="FFFF4A1F"/>
      <name val="Arial"/>
    </font>
    <font>
      <b/>
      <sz val="18"/>
      <color rgb="FF18191B"/>
      <name val="Arial"/>
    </font>
    <font>
      <b/>
      <sz val="9"/>
      <color rgb="FF5C6267"/>
      <name val="Arial"/>
    </font>
    <font>
      <b/>
      <sz val="10"/>
      <color rgb="FF18191B"/>
      <name val="Arial"/>
    </font>
    <font>
      <i/>
      <sz val="9"/>
      <color rgb="FF5C6267"/>
      <name val="Arial"/>
    </font>
    <font>
      <sz val="9"/>
      <color rgb="FF5C6267"/>
      <name val="Arial"/>
    </font>
    <font>
      <sz val="11"/>
      <name val="Carlito"/>
    </font>
  </fonts>
  <fills count="5">
    <fill>
      <patternFill patternType="none"/>
    </fill>
    <fill>
      <patternFill patternType="gray125"/>
    </fill>
    <fill>
      <patternFill patternType="solid">
        <fgColor rgb="FFFFF4D6"/>
      </patternFill>
    </fill>
    <fill>
      <patternFill patternType="solid">
        <fgColor rgb="FF18191B"/>
      </patternFill>
    </fill>
    <fill>
      <patternFill patternType="solid">
        <fgColor rgb="FFE1E3E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4" fillId="0" borderId="0"/>
  </cellStyleXfs>
  <cellXfs count="41">
    <xf numFmtId="0" fontId="0" fillId="0" borderId="0" xfId="0"/>
    <xf numFmtId="0" fontId="5" fillId="2" borderId="0" xfId="1" applyFont="1" applyFill="1" applyAlignment="1" applyProtection="1">
      <alignment vertical="center" wrapText="1"/>
      <protection locked="0"/>
    </xf>
    <xf numFmtId="164" fontId="5" fillId="2" borderId="0" xfId="1" applyNumberFormat="1" applyFont="1" applyFill="1" applyAlignment="1" applyProtection="1">
      <alignment vertical="center"/>
      <protection locked="0"/>
    </xf>
    <xf numFmtId="0" fontId="5" fillId="2" borderId="0" xfId="1" applyFont="1" applyFill="1" applyAlignment="1" applyProtection="1">
      <alignment vertical="center"/>
      <protection locked="0"/>
    </xf>
    <xf numFmtId="169" fontId="5" fillId="2" borderId="0" xfId="1" applyNumberFormat="1" applyFont="1" applyFill="1" applyAlignment="1" applyProtection="1">
      <alignment vertical="center"/>
      <protection locked="0"/>
    </xf>
    <xf numFmtId="166" fontId="5" fillId="2" borderId="0" xfId="1" applyNumberFormat="1" applyFont="1" applyFill="1" applyAlignment="1" applyProtection="1">
      <alignment vertical="center"/>
      <protection locked="0"/>
    </xf>
    <xf numFmtId="167" fontId="5" fillId="2" borderId="0" xfId="1" applyNumberFormat="1" applyFont="1" applyFill="1" applyAlignment="1" applyProtection="1">
      <alignment vertical="center"/>
      <protection locked="0"/>
    </xf>
    <xf numFmtId="0" fontId="1" fillId="0" borderId="0" xfId="1" applyFont="1" applyAlignment="1" applyProtection="1">
      <alignment vertical="center"/>
    </xf>
    <xf numFmtId="0" fontId="0" fillId="0" borderId="0" xfId="0" applyProtection="1"/>
    <xf numFmtId="0" fontId="8" fillId="0" borderId="0" xfId="1" applyFont="1" applyAlignment="1" applyProtection="1">
      <alignment vertical="center"/>
    </xf>
    <xf numFmtId="0" fontId="9" fillId="0" borderId="0" xfId="1" applyFont="1" applyAlignment="1" applyProtection="1">
      <alignment vertical="center"/>
    </xf>
    <xf numFmtId="0" fontId="1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0" fontId="4" fillId="0" borderId="0" xfId="1" applyFont="1" applyAlignment="1" applyProtection="1">
      <alignment vertical="center"/>
    </xf>
    <xf numFmtId="0" fontId="10" fillId="0" borderId="0" xfId="1" applyFont="1" applyAlignment="1" applyProtection="1">
      <alignment vertical="center"/>
    </xf>
    <xf numFmtId="0" fontId="13" fillId="0" borderId="0" xfId="0" applyFont="1" applyAlignment="1" applyProtection="1">
      <alignment vertical="center"/>
    </xf>
    <xf numFmtId="169" fontId="2" fillId="0" borderId="0" xfId="1" applyNumberFormat="1" applyFont="1" applyAlignment="1" applyProtection="1">
      <alignment vertical="center"/>
    </xf>
    <xf numFmtId="169" fontId="1" fillId="0" borderId="0" xfId="1" applyNumberFormat="1" applyFont="1" applyAlignment="1" applyProtection="1">
      <alignment vertical="center"/>
    </xf>
    <xf numFmtId="166" fontId="1" fillId="0" borderId="0" xfId="1" applyNumberFormat="1" applyFont="1" applyAlignment="1" applyProtection="1">
      <alignment vertical="center"/>
    </xf>
    <xf numFmtId="0" fontId="11" fillId="0" borderId="0" xfId="1" applyFont="1" applyAlignment="1" applyProtection="1">
      <alignment vertical="center"/>
    </xf>
    <xf numFmtId="0" fontId="12" fillId="0" borderId="0" xfId="1" applyFont="1" applyAlignment="1" applyProtection="1">
      <alignment vertical="center"/>
    </xf>
    <xf numFmtId="0" fontId="6" fillId="3" borderId="0" xfId="1" applyFont="1" applyFill="1" applyAlignment="1" applyProtection="1">
      <alignment horizontal="center" vertical="center" wrapText="1"/>
    </xf>
    <xf numFmtId="169" fontId="1" fillId="0" borderId="0" xfId="1" applyNumberFormat="1" applyFont="1" applyAlignment="1" applyProtection="1">
      <alignment vertical="center"/>
    </xf>
    <xf numFmtId="0" fontId="7" fillId="4" borderId="0" xfId="1" applyFont="1" applyFill="1" applyAlignment="1" applyProtection="1">
      <alignment vertical="center"/>
    </xf>
    <xf numFmtId="166" fontId="1" fillId="0" borderId="0" xfId="1" applyNumberFormat="1" applyFont="1" applyAlignment="1" applyProtection="1">
      <alignment vertical="center"/>
    </xf>
    <xf numFmtId="0" fontId="13" fillId="0" borderId="0" xfId="1" applyFont="1" applyAlignment="1" applyProtection="1">
      <alignment vertical="center"/>
    </xf>
    <xf numFmtId="0" fontId="2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0" fontId="4" fillId="0" borderId="0" xfId="1" applyFont="1" applyAlignment="1" applyProtection="1">
      <alignment vertical="center"/>
    </xf>
    <xf numFmtId="0" fontId="1" fillId="0" borderId="0" xfId="1" applyFont="1" applyAlignment="1" applyProtection="1">
      <alignment vertical="center" wrapText="1"/>
    </xf>
    <xf numFmtId="164" fontId="1" fillId="0" borderId="0" xfId="1" applyNumberFormat="1" applyFont="1" applyAlignment="1" applyProtection="1">
      <alignment vertical="center"/>
    </xf>
    <xf numFmtId="165" fontId="6" fillId="3" borderId="0" xfId="1" applyNumberFormat="1" applyFont="1" applyFill="1" applyAlignment="1" applyProtection="1">
      <alignment horizontal="center" vertical="center" wrapText="1"/>
    </xf>
    <xf numFmtId="166" fontId="1" fillId="4" borderId="0" xfId="1" applyNumberFormat="1" applyFont="1" applyFill="1" applyAlignment="1" applyProtection="1">
      <alignment vertical="center"/>
    </xf>
    <xf numFmtId="168" fontId="4" fillId="0" borderId="0" xfId="1" applyNumberFormat="1" applyFont="1" applyAlignment="1" applyProtection="1">
      <alignment vertical="center"/>
    </xf>
    <xf numFmtId="169" fontId="4" fillId="0" borderId="0" xfId="1" applyNumberFormat="1" applyFont="1" applyAlignment="1" applyProtection="1">
      <alignment vertical="center"/>
    </xf>
    <xf numFmtId="166" fontId="4" fillId="0" borderId="0" xfId="1" applyNumberFormat="1" applyFont="1" applyAlignment="1" applyProtection="1">
      <alignment vertical="center"/>
    </xf>
    <xf numFmtId="167" fontId="4" fillId="0" borderId="0" xfId="1" applyNumberFormat="1" applyFont="1" applyAlignment="1" applyProtection="1">
      <alignment vertical="center"/>
    </xf>
    <xf numFmtId="167" fontId="1" fillId="0" borderId="0" xfId="1" applyNumberFormat="1" applyFont="1" applyAlignment="1" applyProtection="1">
      <alignment vertical="center"/>
    </xf>
    <xf numFmtId="0" fontId="1" fillId="0" borderId="0" xfId="1" applyFont="1" applyAlignment="1" applyProtection="1">
      <alignment vertical="center" wrapText="1"/>
    </xf>
    <xf numFmtId="0" fontId="4" fillId="0" borderId="0" xfId="1" applyFont="1" applyAlignment="1" applyProtection="1">
      <alignment vertical="center" wrapText="1"/>
    </xf>
    <xf numFmtId="167" fontId="4" fillId="0" borderId="0" xfId="1" applyNumberFormat="1" applyFont="1" applyAlignment="1" applyProtection="1">
      <alignment vertical="center" wrapText="1"/>
    </xf>
  </cellXfs>
  <cellStyles count="2">
    <cellStyle name="Normal" xfId="1" xr:uid="{00000000-0005-0000-0000-000000000000}"/>
    <cellStyle name="Normalny" xfId="0" builtinId="0"/>
  </cellStyles>
  <dxfs count="20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1" hidden="0"/>
    </dxf>
    <dxf>
      <font>
        <b/>
        <color rgb="FF18191B"/>
      </font>
      <fill>
        <patternFill>
          <bgColor rgb="FFFFF4D6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  <dxf>
      <font>
        <b/>
        <color rgb="FFA32929"/>
      </font>
      <fill>
        <patternFill>
          <bgColor rgb="FFFCE7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c:style val="2"/>
  <c:chart>
    <c:title>
      <c:tx>
        <c:rich>
          <a:bodyPr/>
          <a:lstStyle/>
          <a:p>
            <a:r>
              <a:rPr lang="pl-PL" sz="900">
                <a:latin typeface="Arial"/>
                <a:ea typeface="Arial"/>
                <a:cs typeface="Arial"/>
              </a:rPr>
              <a:t>Plan i prognoza roku (PLN)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Plan PLN</c:v>
          </c:tx>
          <c:spPr>
            <a:ln w="19050">
              <a:solidFill>
                <a:srgbClr val="73777C"/>
              </a:solidFill>
              <a:prstDash val="dash"/>
            </a:ln>
          </c:spPr>
          <c:marker>
            <c:symbol val="none"/>
          </c:marker>
          <c:cat>
            <c:strRef>
              <c:f>Raport!$C$17:$C$28</c:f>
              <c:strCache>
                <c:ptCount val="12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  <c:pt idx="6">
                  <c:v>Lip</c:v>
                </c:pt>
                <c:pt idx="7">
                  <c:v>Sie</c:v>
                </c:pt>
                <c:pt idx="8">
                  <c:v>Wrz</c:v>
                </c:pt>
                <c:pt idx="9">
                  <c:v>Paź</c:v>
                </c:pt>
                <c:pt idx="10">
                  <c:v>Lis</c:v>
                </c:pt>
                <c:pt idx="11">
                  <c:v>Gru</c:v>
                </c:pt>
              </c:strCache>
            </c:strRef>
          </c:cat>
          <c:val>
            <c:numRef>
              <c:f>Raport!$D$17:$D$28</c:f>
              <c:numCache>
                <c:formatCode>#\ ##0;\(#\ ##0\);"–"</c:formatCode>
                <c:ptCount val="12"/>
                <c:pt idx="0">
                  <c:v>208000</c:v>
                </c:pt>
                <c:pt idx="1">
                  <c:v>64000</c:v>
                </c:pt>
                <c:pt idx="2">
                  <c:v>124000</c:v>
                </c:pt>
                <c:pt idx="3">
                  <c:v>104000</c:v>
                </c:pt>
                <c:pt idx="4">
                  <c:v>82000</c:v>
                </c:pt>
                <c:pt idx="5">
                  <c:v>64000</c:v>
                </c:pt>
                <c:pt idx="6">
                  <c:v>64000</c:v>
                </c:pt>
                <c:pt idx="7">
                  <c:v>64000</c:v>
                </c:pt>
                <c:pt idx="8">
                  <c:v>144000</c:v>
                </c:pt>
                <c:pt idx="9">
                  <c:v>76000</c:v>
                </c:pt>
                <c:pt idx="10">
                  <c:v>154000</c:v>
                </c:pt>
                <c:pt idx="11">
                  <c:v>84000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1BE-445F-A9CA-0877839E3B2D}"/>
            </c:ext>
          </c:extLst>
        </c:ser>
        <c:ser>
          <c:idx val="1"/>
          <c:order val="1"/>
          <c:tx>
            <c:v>Wykonanie / prognoza</c:v>
          </c:tx>
          <c:spPr>
            <a:ln w="19050">
              <a:solidFill>
                <a:srgbClr val="FF4A1F"/>
              </a:solidFill>
              <a:prstDash val="solid"/>
            </a:ln>
          </c:spPr>
          <c:marker>
            <c:symbol val="none"/>
          </c:marker>
          <c:cat>
            <c:strRef>
              <c:f>Raport!$C$17:$C$28</c:f>
              <c:strCache>
                <c:ptCount val="12"/>
                <c:pt idx="0">
                  <c:v>Sty</c:v>
                </c:pt>
                <c:pt idx="1">
                  <c:v>Lut</c:v>
                </c:pt>
                <c:pt idx="2">
                  <c:v>Mar</c:v>
                </c:pt>
                <c:pt idx="3">
                  <c:v>Kwi</c:v>
                </c:pt>
                <c:pt idx="4">
                  <c:v>Maj</c:v>
                </c:pt>
                <c:pt idx="5">
                  <c:v>Cze</c:v>
                </c:pt>
                <c:pt idx="6">
                  <c:v>Lip</c:v>
                </c:pt>
                <c:pt idx="7">
                  <c:v>Sie</c:v>
                </c:pt>
                <c:pt idx="8">
                  <c:v>Wrz</c:v>
                </c:pt>
                <c:pt idx="9">
                  <c:v>Paź</c:v>
                </c:pt>
                <c:pt idx="10">
                  <c:v>Lis</c:v>
                </c:pt>
                <c:pt idx="11">
                  <c:v>Gru</c:v>
                </c:pt>
              </c:strCache>
            </c:strRef>
          </c:cat>
          <c:val>
            <c:numRef>
              <c:f>Raport!$E$17:$E$28</c:f>
              <c:numCache>
                <c:formatCode>#\ ##0;\(#\ ##0\);"–"</c:formatCode>
                <c:ptCount val="12"/>
                <c:pt idx="0">
                  <c:v>184000</c:v>
                </c:pt>
                <c:pt idx="1">
                  <c:v>64000</c:v>
                </c:pt>
                <c:pt idx="2">
                  <c:v>128000</c:v>
                </c:pt>
                <c:pt idx="3">
                  <c:v>104000</c:v>
                </c:pt>
                <c:pt idx="4">
                  <c:v>82000</c:v>
                </c:pt>
                <c:pt idx="5">
                  <c:v>65000</c:v>
                </c:pt>
                <c:pt idx="6">
                  <c:v>91200</c:v>
                </c:pt>
                <c:pt idx="7">
                  <c:v>65200</c:v>
                </c:pt>
                <c:pt idx="8">
                  <c:v>145200</c:v>
                </c:pt>
                <c:pt idx="9">
                  <c:v>77200</c:v>
                </c:pt>
                <c:pt idx="10">
                  <c:v>65200</c:v>
                </c:pt>
                <c:pt idx="11">
                  <c:v>70200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1BE-445F-A9CA-0877839E3B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txPr>
          <a:bodyPr anchorCtr="1"/>
          <a:lstStyle/>
          <a:p>
            <a:pPr>
              <a:defRPr sz="750">
                <a:latin typeface="Arial"/>
                <a:ea typeface="Arial"/>
                <a:cs typeface="Arial"/>
              </a:defRPr>
            </a:pPr>
            <a:endParaRPr lang="pl-PL"/>
          </a:p>
        </c:txPr>
        <c:crossAx val="48672768"/>
        <c:crosses val="autoZero"/>
        <c:auto val="1"/>
        <c:lblAlgn val="ctr"/>
        <c:lblOffset val="100"/>
        <c:noMultiLvlLbl val="1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" sourceLinked="0"/>
        <c:majorTickMark val="none"/>
        <c:minorTickMark val="none"/>
        <c:tickLblPos val="nextTo"/>
        <c:txPr>
          <a:bodyPr anchorCtr="1"/>
          <a:lstStyle/>
          <a:p>
            <a:pPr>
              <a:defRPr sz="750">
                <a:latin typeface="Arial"/>
                <a:ea typeface="Arial"/>
                <a:cs typeface="Arial"/>
              </a:defRPr>
            </a:pPr>
            <a:endParaRPr lang="pl-PL"/>
          </a:p>
        </c:txPr>
        <c:crossAx val="48650112"/>
        <c:crosses val="autoZero"/>
        <c:crossBetween val="between"/>
      </c:valAx>
    </c:plotArea>
    <c:legend>
      <c:legendPos val="t"/>
      <c:overlay val="0"/>
      <c:txPr>
        <a:bodyPr anchorCtr="1"/>
        <a:lstStyle/>
        <a:p>
          <a:pPr>
            <a:defRPr sz="750">
              <a:latin typeface="Arial"/>
              <a:ea typeface="Arial"/>
              <a:cs typeface="Arial"/>
            </a:defRPr>
          </a:pPr>
          <a:endParaRPr lang="pl-PL"/>
        </a:p>
      </c:txPr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15</xdr:row>
      <xdr:rowOff>0</xdr:rowOff>
    </xdr:from>
    <xdr:to>
      <xdr:col>14</xdr:col>
      <xdr:colOff>0</xdr:colOff>
      <xdr:row>30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ERP_Data" displayName="ERP_Data" ref="C8:J1008" totalsRowShown="0" headerRowDxfId="9" dataDxfId="0">
  <tableColumns count="8">
    <tableColumn id="1" xr3:uid="{00000000-0010-0000-0000-000001000000}" name="RowID" dataDxfId="8"/>
    <tableColumn id="2" xr3:uid="{00000000-0010-0000-0000-000002000000}" name="Date" dataDxfId="7"/>
    <tableColumn id="3" xr3:uid="{00000000-0010-0000-0000-000003000000}" name="ERPKey" dataDxfId="6"/>
    <tableColumn id="4" xr3:uid="{00000000-0010-0000-0000-000004000000}" name="CommitmentID" dataDxfId="5"/>
    <tableColumn id="5" xr3:uid="{00000000-0010-0000-0000-000005000000}" name="Counterparty" dataDxfId="4"/>
    <tableColumn id="6" xr3:uid="{00000000-0010-0000-0000-000006000000}" name="Description" dataDxfId="3"/>
    <tableColumn id="7" xr3:uid="{00000000-0010-0000-0000-000007000000}" name="AmountPLN" dataDxfId="2"/>
    <tableColumn id="8" xr3:uid="{00000000-0010-0000-0000-000008000000}" name="Batch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18191B"/>
    <pageSetUpPr fitToPage="1"/>
  </sheetPr>
  <dimension ref="A1:N58"/>
  <sheetViews>
    <sheetView showGridLines="0" tabSelected="1" zoomScale="75" zoomScaleNormal="75" workbookViewId="0"/>
  </sheetViews>
  <sheetFormatPr defaultRowHeight="14.25"/>
  <cols>
    <col min="1" max="2" width="2" style="8" customWidth="1"/>
    <col min="3" max="3" width="22" style="8" customWidth="1"/>
    <col min="4" max="6" width="18" style="8" customWidth="1"/>
    <col min="7" max="7" width="21" style="8" customWidth="1"/>
    <col min="8" max="9" width="12" style="8" customWidth="1"/>
    <col min="10" max="10" width="24" style="8" customWidth="1"/>
    <col min="11" max="12" width="19" style="8" customWidth="1"/>
    <col min="13" max="14" width="10" style="8" customWidth="1"/>
    <col min="15" max="16384" width="9" style="8"/>
  </cols>
  <sheetData>
    <row r="1" spans="1:14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24" customHeight="1">
      <c r="A2" s="7"/>
      <c r="B2" s="7"/>
      <c r="C2" s="9" t="s">
        <v>0</v>
      </c>
      <c r="D2" s="7"/>
      <c r="E2" s="10" t="s">
        <v>1</v>
      </c>
      <c r="F2" s="11"/>
      <c r="G2" s="11"/>
      <c r="H2" s="11"/>
      <c r="I2" s="11"/>
      <c r="J2" s="11"/>
      <c r="K2" s="11"/>
      <c r="L2" s="11"/>
      <c r="M2" s="11"/>
      <c r="N2" s="11"/>
    </row>
    <row r="3" spans="1:14" ht="24" customHeight="1">
      <c r="A3" s="7"/>
      <c r="B3" s="7"/>
      <c r="C3" s="12"/>
      <c r="D3" s="7"/>
      <c r="E3" s="11" t="str">
        <f>IF(Parametry!$G$5="","Uzupełnij nazwę firmy w Parametrach",Parametry!$G$5)&amp;"  /  "&amp;IF(Parametry!$G$6="","",Parametry!$G$6)</f>
        <v>Firma modelowa  /  2027</v>
      </c>
      <c r="F3" s="11"/>
      <c r="G3" s="11"/>
      <c r="H3" s="11"/>
      <c r="I3" s="11"/>
      <c r="J3" s="11"/>
      <c r="K3" s="11"/>
      <c r="L3" s="11"/>
      <c r="M3" s="11"/>
      <c r="N3" s="11"/>
    </row>
    <row r="4" spans="1:14" ht="24" customHeight="1">
      <c r="A4" s="7"/>
      <c r="B4" s="7"/>
      <c r="C4" s="7"/>
      <c r="D4" s="13"/>
      <c r="E4" s="14" t="s">
        <v>2</v>
      </c>
      <c r="F4" s="11"/>
      <c r="G4" s="11"/>
      <c r="H4" s="11"/>
      <c r="I4" s="11" t="str">
        <f>"Wariant: "&amp;Parametry!$G$9</f>
        <v>Wariant: Bazowy</v>
      </c>
      <c r="J4" s="11"/>
      <c r="K4" s="11"/>
      <c r="L4" s="11"/>
      <c r="M4" s="11"/>
      <c r="N4" s="11"/>
    </row>
    <row r="5" spans="1:14" ht="24" customHeight="1">
      <c r="A5" s="7"/>
      <c r="B5" s="7"/>
      <c r="C5" s="15" t="str">
        <f>"Stan na: "&amp;IF(ISNUMBER(Parametry!$G$10),TEXT(Parametry!$G$10,"yyyy-mm-dd"),"—")&amp;"  |  Właściciel: "&amp;IF(Parametry!$G$14="","—",Parametry!$G$14)</f>
        <v>Stan na: yyyy-06-30  |  Właściciel: IT owner</v>
      </c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</row>
    <row r="6" spans="1:14" ht="24" customHeight="1">
      <c r="A6" s="7"/>
      <c r="B6" s="7"/>
      <c r="C6" s="11" t="s">
        <v>3</v>
      </c>
      <c r="D6" s="11"/>
      <c r="E6" s="11"/>
      <c r="F6" s="11"/>
      <c r="G6" s="11" t="s">
        <v>4</v>
      </c>
      <c r="H6" s="11"/>
      <c r="I6" s="11"/>
      <c r="J6" s="11"/>
      <c r="K6" s="11" t="s">
        <v>5</v>
      </c>
      <c r="L6" s="11"/>
      <c r="M6" s="11"/>
      <c r="N6" s="11"/>
    </row>
    <row r="7" spans="1:14" ht="24" customHeight="1">
      <c r="A7" s="7"/>
      <c r="B7" s="7"/>
      <c r="C7" s="16">
        <f>IF(AND(Model!$E$5=1,COUNTA(Plan!$C$9:$C$38)&gt;0,SUM(Plan!$X$9:$X$38)=0),SUM(Plan!$I$9:$I$38),"")</f>
        <v>1232000</v>
      </c>
      <c r="D7" s="17"/>
      <c r="E7" s="17"/>
      <c r="F7" s="17"/>
      <c r="G7" s="16">
        <f>IF(AND(AND(Model!$E$5=1,COUNTA(Plan!$C$9:$C$38)&gt;0,SUM(Plan!$X$9:$X$38)=0),SUM(ERP!$O$9:$O$1008)=0),SUM(Model!$G$9:$G$368),"")</f>
        <v>627000</v>
      </c>
      <c r="H7" s="17"/>
      <c r="I7" s="17"/>
      <c r="J7" s="17"/>
      <c r="K7" s="16">
        <f>IF(Model!$E$6=1,SUM(Model!$L$9:$L$368),"")</f>
        <v>1141200</v>
      </c>
      <c r="L7" s="17"/>
      <c r="M7" s="17"/>
      <c r="N7" s="17"/>
    </row>
    <row r="8" spans="1:14" ht="24" customHeight="1">
      <c r="A8" s="7"/>
      <c r="B8" s="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</row>
    <row r="9" spans="1:14" ht="24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24" customHeight="1">
      <c r="A10" s="7"/>
      <c r="B10" s="7"/>
      <c r="C10" s="11" t="s">
        <v>6</v>
      </c>
      <c r="D10" s="11"/>
      <c r="E10" s="11"/>
      <c r="F10" s="11"/>
      <c r="G10" s="17">
        <f>IF(AND(ISNUMBER(C7),ISNUMBER(K7)),K7-C7,"")</f>
        <v>-90800</v>
      </c>
      <c r="H10" s="17"/>
      <c r="I10" s="18">
        <f>IF(AND(ISNUMBER(C7),ISNUMBER(K7)),IF(C7=0,"n.a.",(K7-C7)/C7),"")</f>
        <v>-7.3701298701298698E-2</v>
      </c>
      <c r="J10" s="18"/>
      <c r="K10" s="7"/>
      <c r="L10" s="7"/>
      <c r="M10" s="7"/>
      <c r="N10" s="7"/>
    </row>
    <row r="11" spans="1:14" ht="24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 ht="24" customHeight="1">
      <c r="A12" s="7"/>
      <c r="B12" s="7"/>
      <c r="C12" s="19" t="str">
        <f>IF(Model!$E$5=0,"Uzupełnij rok, okres i wariant w Parametrach",IF(COUNTA(Plan!$C$9:$C$38)=0,"Wprowadź plan i mapowanie danych",IF(Model!$I$5&gt;0,"Popraw błędy źródeł. Szczegóły w Kontroli.",IF(Model!$M$5&gt;0,"Uzupełnij prognozę niezakontraktowaną lub korekty wariantu","Prognoza kompletna. Odchylenie dodatnie oznacza przekroczenie planu."))))</f>
        <v>Prognoza kompletna. Odchylenie dodatnie oznacza przekroczenie planu.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spans="1:14" ht="24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 ht="24" customHeight="1">
      <c r="A14" s="7"/>
      <c r="B14" s="7"/>
      <c r="C14" s="20" t="s">
        <v>7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4" ht="24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14" ht="38.1" customHeight="1">
      <c r="A16" s="7"/>
      <c r="B16" s="7"/>
      <c r="C16" s="21" t="s">
        <v>8</v>
      </c>
      <c r="D16" s="21" t="s">
        <v>9</v>
      </c>
      <c r="E16" s="21" t="s">
        <v>10</v>
      </c>
      <c r="F16" s="21" t="s">
        <v>11</v>
      </c>
      <c r="G16" s="7"/>
      <c r="H16" s="7"/>
      <c r="I16" s="7"/>
      <c r="J16" s="7"/>
      <c r="K16" s="7"/>
      <c r="L16" s="7"/>
      <c r="M16" s="7"/>
      <c r="N16" s="7"/>
    </row>
    <row r="17" spans="1:14" ht="24" customHeight="1">
      <c r="A17" s="7"/>
      <c r="B17" s="7"/>
      <c r="C17" s="7" t="s">
        <v>12</v>
      </c>
      <c r="D17" s="22">
        <f>IF(ISNUMBER($C$7),SUMIFS(Model!$F$9:$F$368,Model!$E$9:$E$368,DATE(Parametry!$G$6,1,1)),"")</f>
        <v>208000</v>
      </c>
      <c r="E17" s="22">
        <f>IF(Model!$E$6=1,SUMIFS(Model!$L$9:$L$368,Model!$E$9:$E$368,DATE(Parametry!$G$6,1,1)),"")</f>
        <v>184000</v>
      </c>
      <c r="F17" s="22">
        <f t="shared" ref="F17:F28" si="0">IF(AND(ISNUMBER(D17),ISNUMBER(E17)),E17-D17,"")</f>
        <v>-24000</v>
      </c>
      <c r="G17" s="7"/>
      <c r="H17" s="7"/>
      <c r="I17" s="7"/>
      <c r="J17" s="7"/>
      <c r="K17" s="7"/>
      <c r="L17" s="7"/>
      <c r="M17" s="7"/>
      <c r="N17" s="7"/>
    </row>
    <row r="18" spans="1:14" ht="24" customHeight="1">
      <c r="A18" s="7"/>
      <c r="B18" s="7"/>
      <c r="C18" s="7" t="s">
        <v>13</v>
      </c>
      <c r="D18" s="22">
        <f>IF(ISNUMBER($C$7),SUMIFS(Model!$F$9:$F$368,Model!$E$9:$E$368,DATE(Parametry!$G$6,2,1)),"")</f>
        <v>64000</v>
      </c>
      <c r="E18" s="22">
        <f>IF(Model!$E$6=1,SUMIFS(Model!$L$9:$L$368,Model!$E$9:$E$368,DATE(Parametry!$G$6,2,1)),"")</f>
        <v>64000</v>
      </c>
      <c r="F18" s="22">
        <f t="shared" si="0"/>
        <v>0</v>
      </c>
      <c r="G18" s="7"/>
      <c r="H18" s="7"/>
      <c r="I18" s="7"/>
      <c r="J18" s="7"/>
      <c r="K18" s="7"/>
      <c r="L18" s="7"/>
      <c r="M18" s="7"/>
      <c r="N18" s="7"/>
    </row>
    <row r="19" spans="1:14" ht="24" customHeight="1">
      <c r="A19" s="7"/>
      <c r="B19" s="7"/>
      <c r="C19" s="7" t="s">
        <v>14</v>
      </c>
      <c r="D19" s="22">
        <f>IF(ISNUMBER($C$7),SUMIFS(Model!$F$9:$F$368,Model!$E$9:$E$368,DATE(Parametry!$G$6,3,1)),"")</f>
        <v>124000</v>
      </c>
      <c r="E19" s="22">
        <f>IF(Model!$E$6=1,SUMIFS(Model!$L$9:$L$368,Model!$E$9:$E$368,DATE(Parametry!$G$6,3,1)),"")</f>
        <v>128000</v>
      </c>
      <c r="F19" s="22">
        <f t="shared" si="0"/>
        <v>4000</v>
      </c>
      <c r="G19" s="7"/>
      <c r="H19" s="7"/>
      <c r="I19" s="7"/>
      <c r="J19" s="7"/>
      <c r="K19" s="7"/>
      <c r="L19" s="7"/>
      <c r="M19" s="7"/>
      <c r="N19" s="7"/>
    </row>
    <row r="20" spans="1:14" ht="24" customHeight="1">
      <c r="A20" s="7"/>
      <c r="B20" s="7"/>
      <c r="C20" s="7" t="s">
        <v>15</v>
      </c>
      <c r="D20" s="22">
        <f>IF(ISNUMBER($C$7),SUMIFS(Model!$F$9:$F$368,Model!$E$9:$E$368,DATE(Parametry!$G$6,4,1)),"")</f>
        <v>104000</v>
      </c>
      <c r="E20" s="22">
        <f>IF(Model!$E$6=1,SUMIFS(Model!$L$9:$L$368,Model!$E$9:$E$368,DATE(Parametry!$G$6,4,1)),"")</f>
        <v>104000</v>
      </c>
      <c r="F20" s="22">
        <f t="shared" si="0"/>
        <v>0</v>
      </c>
      <c r="G20" s="7"/>
      <c r="H20" s="7"/>
      <c r="I20" s="7"/>
      <c r="J20" s="7"/>
      <c r="K20" s="7"/>
      <c r="L20" s="7"/>
      <c r="M20" s="7"/>
      <c r="N20" s="7"/>
    </row>
    <row r="21" spans="1:14" ht="24" customHeight="1">
      <c r="A21" s="7"/>
      <c r="B21" s="7"/>
      <c r="C21" s="7" t="s">
        <v>16</v>
      </c>
      <c r="D21" s="22">
        <f>IF(ISNUMBER($C$7),SUMIFS(Model!$F$9:$F$368,Model!$E$9:$E$368,DATE(Parametry!$G$6,5,1)),"")</f>
        <v>82000</v>
      </c>
      <c r="E21" s="22">
        <f>IF(Model!$E$6=1,SUMIFS(Model!$L$9:$L$368,Model!$E$9:$E$368,DATE(Parametry!$G$6,5,1)),"")</f>
        <v>82000</v>
      </c>
      <c r="F21" s="22">
        <f t="shared" si="0"/>
        <v>0</v>
      </c>
      <c r="G21" s="7"/>
      <c r="H21" s="7"/>
      <c r="I21" s="7"/>
      <c r="J21" s="7"/>
      <c r="K21" s="7"/>
      <c r="L21" s="7"/>
      <c r="M21" s="7"/>
      <c r="N21" s="7"/>
    </row>
    <row r="22" spans="1:14" ht="24" customHeight="1">
      <c r="A22" s="7"/>
      <c r="B22" s="7"/>
      <c r="C22" s="7" t="s">
        <v>17</v>
      </c>
      <c r="D22" s="22">
        <f>IF(ISNUMBER($C$7),SUMIFS(Model!$F$9:$F$368,Model!$E$9:$E$368,DATE(Parametry!$G$6,6,1)),"")</f>
        <v>64000</v>
      </c>
      <c r="E22" s="22">
        <f>IF(Model!$E$6=1,SUMIFS(Model!$L$9:$L$368,Model!$E$9:$E$368,DATE(Parametry!$G$6,6,1)),"")</f>
        <v>65000</v>
      </c>
      <c r="F22" s="22">
        <f t="shared" si="0"/>
        <v>1000</v>
      </c>
      <c r="G22" s="7"/>
      <c r="H22" s="7"/>
      <c r="I22" s="7"/>
      <c r="J22" s="7"/>
      <c r="K22" s="7"/>
      <c r="L22" s="7"/>
      <c r="M22" s="7"/>
      <c r="N22" s="7"/>
    </row>
    <row r="23" spans="1:14" ht="24" customHeight="1">
      <c r="A23" s="7"/>
      <c r="B23" s="7"/>
      <c r="C23" s="7" t="s">
        <v>18</v>
      </c>
      <c r="D23" s="22">
        <f>IF(ISNUMBER($C$7),SUMIFS(Model!$F$9:$F$368,Model!$E$9:$E$368,DATE(Parametry!$G$6,7,1)),"")</f>
        <v>64000</v>
      </c>
      <c r="E23" s="22">
        <f>IF(Model!$E$6=1,SUMIFS(Model!$L$9:$L$368,Model!$E$9:$E$368,DATE(Parametry!$G$6,7,1)),"")</f>
        <v>91200</v>
      </c>
      <c r="F23" s="22">
        <f t="shared" si="0"/>
        <v>27200</v>
      </c>
      <c r="G23" s="7"/>
      <c r="H23" s="7"/>
      <c r="I23" s="7"/>
      <c r="J23" s="7"/>
      <c r="K23" s="7"/>
      <c r="L23" s="7"/>
      <c r="M23" s="7"/>
      <c r="N23" s="7"/>
    </row>
    <row r="24" spans="1:14" ht="24" customHeight="1">
      <c r="A24" s="7"/>
      <c r="B24" s="7"/>
      <c r="C24" s="7" t="s">
        <v>19</v>
      </c>
      <c r="D24" s="22">
        <f>IF(ISNUMBER($C$7),SUMIFS(Model!$F$9:$F$368,Model!$E$9:$E$368,DATE(Parametry!$G$6,8,1)),"")</f>
        <v>64000</v>
      </c>
      <c r="E24" s="22">
        <f>IF(Model!$E$6=1,SUMIFS(Model!$L$9:$L$368,Model!$E$9:$E$368,DATE(Parametry!$G$6,8,1)),"")</f>
        <v>65200</v>
      </c>
      <c r="F24" s="22">
        <f t="shared" si="0"/>
        <v>1200</v>
      </c>
      <c r="G24" s="7"/>
      <c r="H24" s="7"/>
      <c r="I24" s="7"/>
      <c r="J24" s="7"/>
      <c r="K24" s="7"/>
      <c r="L24" s="7"/>
      <c r="M24" s="7"/>
      <c r="N24" s="7"/>
    </row>
    <row r="25" spans="1:14" ht="24" customHeight="1">
      <c r="A25" s="7"/>
      <c r="B25" s="7"/>
      <c r="C25" s="7" t="s">
        <v>20</v>
      </c>
      <c r="D25" s="22">
        <f>IF(ISNUMBER($C$7),SUMIFS(Model!$F$9:$F$368,Model!$E$9:$E$368,DATE(Parametry!$G$6,9,1)),"")</f>
        <v>144000</v>
      </c>
      <c r="E25" s="22">
        <f>IF(Model!$E$6=1,SUMIFS(Model!$L$9:$L$368,Model!$E$9:$E$368,DATE(Parametry!$G$6,9,1)),"")</f>
        <v>145200</v>
      </c>
      <c r="F25" s="22">
        <f t="shared" si="0"/>
        <v>1200</v>
      </c>
      <c r="G25" s="7"/>
      <c r="H25" s="7"/>
      <c r="I25" s="7"/>
      <c r="J25" s="7"/>
      <c r="K25" s="7"/>
      <c r="L25" s="7"/>
      <c r="M25" s="7"/>
      <c r="N25" s="7"/>
    </row>
    <row r="26" spans="1:14" ht="24" customHeight="1">
      <c r="A26" s="7"/>
      <c r="B26" s="7"/>
      <c r="C26" s="7" t="s">
        <v>21</v>
      </c>
      <c r="D26" s="22">
        <f>IF(ISNUMBER($C$7),SUMIFS(Model!$F$9:$F$368,Model!$E$9:$E$368,DATE(Parametry!$G$6,10,1)),"")</f>
        <v>76000</v>
      </c>
      <c r="E26" s="22">
        <f>IF(Model!$E$6=1,SUMIFS(Model!$L$9:$L$368,Model!$E$9:$E$368,DATE(Parametry!$G$6,10,1)),"")</f>
        <v>77200</v>
      </c>
      <c r="F26" s="22">
        <f t="shared" si="0"/>
        <v>1200</v>
      </c>
      <c r="G26" s="7"/>
      <c r="H26" s="7"/>
      <c r="I26" s="7"/>
      <c r="J26" s="7"/>
      <c r="K26" s="7"/>
      <c r="L26" s="7"/>
      <c r="M26" s="7"/>
      <c r="N26" s="7"/>
    </row>
    <row r="27" spans="1:14" ht="24" customHeight="1">
      <c r="A27" s="7"/>
      <c r="B27" s="7"/>
      <c r="C27" s="7" t="s">
        <v>22</v>
      </c>
      <c r="D27" s="22">
        <f>IF(ISNUMBER($C$7),SUMIFS(Model!$F$9:$F$368,Model!$E$9:$E$368,DATE(Parametry!$G$6,11,1)),"")</f>
        <v>154000</v>
      </c>
      <c r="E27" s="22">
        <f>IF(Model!$E$6=1,SUMIFS(Model!$L$9:$L$368,Model!$E$9:$E$368,DATE(Parametry!$G$6,11,1)),"")</f>
        <v>65200</v>
      </c>
      <c r="F27" s="22">
        <f t="shared" si="0"/>
        <v>-88800</v>
      </c>
      <c r="G27" s="7"/>
      <c r="H27" s="7"/>
      <c r="I27" s="7"/>
      <c r="J27" s="7"/>
      <c r="K27" s="7"/>
      <c r="L27" s="7"/>
      <c r="M27" s="7"/>
      <c r="N27" s="7"/>
    </row>
    <row r="28" spans="1:14" ht="24" customHeight="1">
      <c r="A28" s="7"/>
      <c r="B28" s="7"/>
      <c r="C28" s="7" t="s">
        <v>23</v>
      </c>
      <c r="D28" s="22">
        <f>IF(ISNUMBER($C$7),SUMIFS(Model!$F$9:$F$368,Model!$E$9:$E$368,DATE(Parametry!$G$6,12,1)),"")</f>
        <v>84000</v>
      </c>
      <c r="E28" s="22">
        <f>IF(Model!$E$6=1,SUMIFS(Model!$L$9:$L$368,Model!$E$9:$E$368,DATE(Parametry!$G$6,12,1)),"")</f>
        <v>70200</v>
      </c>
      <c r="F28" s="22">
        <f t="shared" si="0"/>
        <v>-13800</v>
      </c>
      <c r="G28" s="7"/>
      <c r="H28" s="7"/>
      <c r="I28" s="7"/>
      <c r="J28" s="7"/>
      <c r="K28" s="7"/>
      <c r="L28" s="7"/>
      <c r="M28" s="7"/>
      <c r="N28" s="7"/>
    </row>
    <row r="29" spans="1:14" ht="24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4" ht="24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1:14" ht="24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1:14" ht="26.1" customHeight="1">
      <c r="A32" s="7"/>
      <c r="B32" s="7"/>
      <c r="C32" s="23" t="s">
        <v>24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</row>
    <row r="33" spans="1:14" ht="24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spans="1:14" ht="38.1" customHeight="1">
      <c r="A34" s="7"/>
      <c r="B34" s="7"/>
      <c r="C34" s="11" t="s">
        <v>25</v>
      </c>
      <c r="D34" s="11"/>
      <c r="E34" s="11"/>
      <c r="F34" s="11"/>
      <c r="G34" s="22">
        <f>IF(Model!$E$6=1,SUMIFS(Umowy!$N$9:$N$108,Umowy!$O$9:$O$108,"&gt;0",Umowy!$O$9:$O$108,"&lt;=12"),"")</f>
        <v>262000</v>
      </c>
      <c r="H34" s="7"/>
      <c r="I34" s="7"/>
      <c r="J34" s="21" t="s">
        <v>26</v>
      </c>
      <c r="K34" s="21" t="s">
        <v>27</v>
      </c>
      <c r="L34" s="21" t="s">
        <v>28</v>
      </c>
      <c r="M34" s="7"/>
      <c r="N34" s="7"/>
    </row>
    <row r="35" spans="1:14" ht="24" customHeight="1">
      <c r="A35" s="7"/>
      <c r="B35" s="7"/>
      <c r="C35" s="11" t="s">
        <v>29</v>
      </c>
      <c r="D35" s="11"/>
      <c r="E35" s="11"/>
      <c r="F35" s="11"/>
      <c r="G35" s="22">
        <f>IF(Model!$E$6=1,SUM(Umowy!$N$9:$N$108)-G34,"")</f>
        <v>90000</v>
      </c>
      <c r="H35" s="7"/>
      <c r="I35" s="7"/>
      <c r="J35" s="7" t="str">
        <f>Parametry!G29</f>
        <v>Produkcja</v>
      </c>
      <c r="K35" s="22">
        <f>IF(Model!$E$6=1,SUM(Alokacja!$N$9:$N$38),"")</f>
        <v>602880</v>
      </c>
      <c r="L35" s="24">
        <f>IF(AND(ISNUMBER(K35),ISNUMBER($K$7)),IF($K$7=0,"n.a.",K35/$K$7),"")</f>
        <v>0.52828601472134595</v>
      </c>
      <c r="M35" s="7"/>
      <c r="N35" s="7"/>
    </row>
    <row r="36" spans="1:14" ht="24" customHeight="1">
      <c r="A36" s="7"/>
      <c r="B36" s="7"/>
      <c r="C36" s="11" t="s">
        <v>30</v>
      </c>
      <c r="D36" s="11"/>
      <c r="E36" s="11"/>
      <c r="F36" s="11"/>
      <c r="G36" s="7">
        <f>IF(Model!$E$5=1,COUNTIFS(Umowy!$G$9:$G$108,"&gt;0",Umowy!$G$9:$G$108,"&lt;="&amp;Parametry!$G$10,Umowy!$N$9:$N$108,"&gt;0"),"")</f>
        <v>1</v>
      </c>
      <c r="H36" s="7"/>
      <c r="I36" s="7"/>
      <c r="J36" s="7" t="str">
        <f>Parametry!H29</f>
        <v>Logistyka</v>
      </c>
      <c r="K36" s="22">
        <f>IF(Model!$E$6=1,SUM(Alokacja!$O$9:$O$38),"")</f>
        <v>334640</v>
      </c>
      <c r="L36" s="24">
        <f>IF(AND(ISNUMBER(K36),ISNUMBER($K$7)),IF($K$7=0,"n.a.",K36/$K$7),"")</f>
        <v>0.29323519102698914</v>
      </c>
      <c r="M36" s="7"/>
      <c r="N36" s="7"/>
    </row>
    <row r="37" spans="1:14" ht="24" customHeight="1">
      <c r="A37" s="7"/>
      <c r="B37" s="7"/>
      <c r="C37" s="11" t="s">
        <v>31</v>
      </c>
      <c r="D37" s="11"/>
      <c r="E37" s="11"/>
      <c r="F37" s="11"/>
      <c r="G37" s="7">
        <f>COUNTIFS(Umowy!$R$9:$R$108,"Sprawdź odnowienie")+COUNTIFS(Umowy!$R$9:$R$108,"Brak terminu decyzji")</f>
        <v>0</v>
      </c>
      <c r="H37" s="7"/>
      <c r="I37" s="7"/>
      <c r="J37" s="7" t="str">
        <f>Parametry!I29</f>
        <v>Sprzedaż</v>
      </c>
      <c r="K37" s="22">
        <f>IF(Model!$E$6=1,SUM(Alokacja!$P$9:$P$38),"")</f>
        <v>119120.00000000001</v>
      </c>
      <c r="L37" s="24">
        <f>IF(AND(ISNUMBER(K37),ISNUMBER($K$7)),IF($K$7=0,"n.a.",K37/$K$7),"")</f>
        <v>0.10438135296179461</v>
      </c>
      <c r="M37" s="7"/>
      <c r="N37" s="7"/>
    </row>
    <row r="38" spans="1:14" ht="24" customHeight="1">
      <c r="A38" s="7"/>
      <c r="B38" s="7"/>
      <c r="C38" s="7"/>
      <c r="D38" s="7"/>
      <c r="E38" s="7"/>
      <c r="F38" s="7"/>
      <c r="G38" s="7"/>
      <c r="H38" s="7"/>
      <c r="I38" s="7"/>
      <c r="J38" s="7" t="str">
        <f>Parametry!J29</f>
        <v>Administracja</v>
      </c>
      <c r="K38" s="22">
        <f>IF(Model!$E$6=1,SUM(Alokacja!$Q$9:$Q$38),"")</f>
        <v>84560.000000000015</v>
      </c>
      <c r="L38" s="24">
        <f>IF(AND(ISNUMBER(K38),ISNUMBER($K$7)),IF($K$7=0,"n.a.",K38/$K$7),"")</f>
        <v>7.4097441289870322E-2</v>
      </c>
      <c r="M38" s="7"/>
      <c r="N38" s="7"/>
    </row>
    <row r="39" spans="1:14" ht="24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</row>
    <row r="40" spans="1:14" ht="24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1:14" ht="26.1" customHeight="1">
      <c r="A41" s="7"/>
      <c r="B41" s="7"/>
      <c r="C41" s="23" t="s">
        <v>32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</row>
    <row r="42" spans="1:14" ht="24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spans="1:14" ht="38.1" customHeight="1">
      <c r="A43" s="7"/>
      <c r="B43" s="7"/>
      <c r="C43" s="21" t="s">
        <v>33</v>
      </c>
      <c r="D43" s="21" t="s">
        <v>34</v>
      </c>
      <c r="E43" s="21" t="s">
        <v>35</v>
      </c>
      <c r="F43" s="21" t="s">
        <v>36</v>
      </c>
      <c r="G43" s="21" t="s">
        <v>37</v>
      </c>
      <c r="H43" s="7"/>
      <c r="I43" s="7"/>
      <c r="J43" s="7"/>
      <c r="K43" s="7"/>
      <c r="L43" s="7"/>
      <c r="M43" s="7"/>
      <c r="N43" s="7"/>
    </row>
    <row r="44" spans="1:14" ht="42" customHeight="1">
      <c r="A44" s="7"/>
      <c r="B44" s="7"/>
      <c r="C44" s="1" t="s">
        <v>38</v>
      </c>
      <c r="D44" s="1" t="s">
        <v>39</v>
      </c>
      <c r="E44" s="1" t="s">
        <v>40</v>
      </c>
      <c r="F44" s="2">
        <v>46583</v>
      </c>
      <c r="G44" s="3" t="s">
        <v>41</v>
      </c>
      <c r="H44" s="7"/>
      <c r="I44" s="7"/>
      <c r="J44" s="7"/>
      <c r="K44" s="7"/>
      <c r="L44" s="7"/>
      <c r="M44" s="7"/>
      <c r="N44" s="7"/>
    </row>
    <row r="45" spans="1:14" ht="42" customHeight="1">
      <c r="A45" s="7"/>
      <c r="B45" s="7"/>
      <c r="C45" s="1" t="s">
        <v>42</v>
      </c>
      <c r="D45" s="1" t="s">
        <v>43</v>
      </c>
      <c r="E45" s="1" t="s">
        <v>40</v>
      </c>
      <c r="F45" s="2">
        <v>46578</v>
      </c>
      <c r="G45" s="3" t="s">
        <v>44</v>
      </c>
      <c r="H45" s="7"/>
      <c r="I45" s="7"/>
      <c r="J45" s="7"/>
      <c r="K45" s="7"/>
      <c r="L45" s="7"/>
      <c r="M45" s="7"/>
      <c r="N45" s="7"/>
    </row>
    <row r="46" spans="1:14" ht="42" customHeight="1">
      <c r="A46" s="7"/>
      <c r="B46" s="7"/>
      <c r="C46" s="1" t="s">
        <v>45</v>
      </c>
      <c r="D46" s="1" t="s">
        <v>46</v>
      </c>
      <c r="E46" s="1" t="s">
        <v>47</v>
      </c>
      <c r="F46" s="2">
        <v>46588</v>
      </c>
      <c r="G46" s="3" t="s">
        <v>41</v>
      </c>
      <c r="H46" s="7"/>
      <c r="I46" s="7"/>
      <c r="J46" s="7"/>
      <c r="K46" s="7"/>
      <c r="L46" s="7"/>
      <c r="M46" s="7"/>
      <c r="N46" s="7"/>
    </row>
    <row r="47" spans="1:14" ht="24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</row>
    <row r="48" spans="1:14" ht="24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</row>
    <row r="49" spans="1:14" ht="24" customHeight="1">
      <c r="A49" s="7"/>
      <c r="B49" s="7"/>
      <c r="C49" s="20" t="s">
        <v>48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</row>
    <row r="50" spans="1:14" ht="24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</row>
    <row r="51" spans="1:14" ht="24" customHeight="1">
      <c r="A51" s="7"/>
      <c r="B51" s="7"/>
      <c r="C51" s="25" t="s">
        <v>49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</row>
    <row r="52" spans="1:14" ht="24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spans="1:14" ht="24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</row>
    <row r="54" spans="1:14" ht="24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</row>
    <row r="55" spans="1:14" ht="24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</row>
    <row r="56" spans="1:14" ht="24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</row>
    <row r="57" spans="1:14" ht="24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</row>
    <row r="58" spans="1:14" ht="24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</sheetData>
  <sheetProtection sheet="1" objects="1" scenarios="1" autoFilter="0"/>
  <mergeCells count="22">
    <mergeCell ref="I4:N4"/>
    <mergeCell ref="E2:N2"/>
    <mergeCell ref="E3:N3"/>
    <mergeCell ref="E4:H4"/>
    <mergeCell ref="C6:F6"/>
    <mergeCell ref="C5:N5"/>
    <mergeCell ref="C7:F8"/>
    <mergeCell ref="G6:J6"/>
    <mergeCell ref="G7:J8"/>
    <mergeCell ref="K6:N6"/>
    <mergeCell ref="K7:N8"/>
    <mergeCell ref="C10:F10"/>
    <mergeCell ref="G10:H10"/>
    <mergeCell ref="I10:J10"/>
    <mergeCell ref="C12:N12"/>
    <mergeCell ref="C14:N14"/>
    <mergeCell ref="C51:N51"/>
    <mergeCell ref="C34:F34"/>
    <mergeCell ref="C35:F35"/>
    <mergeCell ref="C36:F36"/>
    <mergeCell ref="C37:F37"/>
    <mergeCell ref="C49:N49"/>
  </mergeCells>
  <conditionalFormatting sqref="G10:H10">
    <cfRule type="cellIs" dxfId="19" priority="1" operator="greaterThan">
      <formula>0</formula>
    </cfRule>
  </conditionalFormatting>
  <printOptions horizontalCentered="1"/>
  <pageMargins left="0.25" right="0.25" top="0.75" bottom="0.75" header="0.3" footer="0.3"/>
  <pageSetup paperSize="9"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3777C"/>
    <pageSetUpPr fitToPage="1"/>
  </sheetPr>
  <dimension ref="A1:S120"/>
  <sheetViews>
    <sheetView showGridLines="0" zoomScale="85" zoomScaleNormal="85" workbookViewId="0">
      <pane ySplit="4" topLeftCell="A5" activePane="bottomLeft" state="frozen"/>
      <selection pane="bottomLeft"/>
    </sheetView>
  </sheetViews>
  <sheetFormatPr defaultRowHeight="14.25"/>
  <cols>
    <col min="1" max="2" width="2" style="8" customWidth="1"/>
    <col min="3" max="3" width="19" style="8" customWidth="1"/>
    <col min="4" max="6" width="23" style="8" customWidth="1"/>
    <col min="7" max="7" width="21" style="8" customWidth="1"/>
    <col min="8" max="19" width="16" style="8" customWidth="1"/>
    <col min="20" max="16384" width="9" style="8"/>
  </cols>
  <sheetData>
    <row r="1" spans="1:19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ht="24" customHeight="1">
      <c r="A2" s="7"/>
      <c r="B2" s="7"/>
      <c r="C2" s="26" t="s">
        <v>50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24" customHeight="1">
      <c r="A3" s="7"/>
      <c r="B3" s="7"/>
      <c r="C3" s="27" t="s">
        <v>51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19" ht="24" customHeight="1">
      <c r="A4" s="7"/>
      <c r="B4" s="7"/>
      <c r="C4" s="7" t="s">
        <v>52</v>
      </c>
      <c r="D4" s="28" t="str">
        <f>Parametry!$G$9</f>
        <v>Bazowy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24" customHeight="1">
      <c r="A5" s="7"/>
      <c r="B5" s="7"/>
      <c r="C5" s="11" t="s">
        <v>53</v>
      </c>
      <c r="D5" s="11"/>
      <c r="E5" s="11"/>
      <c r="F5" s="11"/>
      <c r="G5" s="3" t="s">
        <v>54</v>
      </c>
      <c r="H5" s="29" t="s">
        <v>55</v>
      </c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</row>
    <row r="6" spans="1:19" ht="24" customHeight="1">
      <c r="A6" s="7"/>
      <c r="B6" s="7"/>
      <c r="C6" s="11" t="s">
        <v>56</v>
      </c>
      <c r="D6" s="11"/>
      <c r="E6" s="11"/>
      <c r="F6" s="11"/>
      <c r="G6" s="3">
        <v>2027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24" customHeight="1">
      <c r="A7" s="7"/>
      <c r="B7" s="7"/>
      <c r="C7" s="11" t="s">
        <v>57</v>
      </c>
      <c r="D7" s="11"/>
      <c r="E7" s="11"/>
      <c r="F7" s="11"/>
      <c r="G7" s="3">
        <v>6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24" customHeight="1">
      <c r="A8" s="7"/>
      <c r="B8" s="7"/>
      <c r="C8" s="11" t="s">
        <v>58</v>
      </c>
      <c r="D8" s="11"/>
      <c r="E8" s="11"/>
      <c r="F8" s="11"/>
      <c r="G8" s="3">
        <v>1</v>
      </c>
      <c r="H8" s="29" t="s">
        <v>59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 ht="24" customHeight="1">
      <c r="A9" s="7"/>
      <c r="B9" s="7"/>
      <c r="C9" s="11" t="s">
        <v>60</v>
      </c>
      <c r="D9" s="11"/>
      <c r="E9" s="11"/>
      <c r="F9" s="11"/>
      <c r="G9" s="7" t="str">
        <f>IF(AND(ISNUMBER(G8),G8&gt;=1,G8&lt;=3,G8=INT(G8)),CHOOSE(G8,"Bazowy","Wzrost kosztów","Ograniczenie zakresu"),"")</f>
        <v>Bazowy</v>
      </c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ht="24" customHeight="1">
      <c r="A10" s="7"/>
      <c r="B10" s="7"/>
      <c r="C10" s="11" t="s">
        <v>61</v>
      </c>
      <c r="D10" s="11"/>
      <c r="E10" s="11"/>
      <c r="F10" s="11"/>
      <c r="G10" s="30">
        <f>IF(AND(ISNUMBER(G6),G6&gt;=2000,G6&lt;=2100,G6=INT(G6),ISNUMBER(G7),G7&gt;=0,G7&lt;=12,G7=INT(G7)),DATE(G6,G7+1,1)-1,"")</f>
        <v>46568</v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ht="24" customHeight="1">
      <c r="A11" s="7"/>
      <c r="B11" s="7"/>
      <c r="C11" s="11" t="s">
        <v>62</v>
      </c>
      <c r="D11" s="11"/>
      <c r="E11" s="11"/>
      <c r="F11" s="11"/>
      <c r="G11" s="3">
        <v>90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</row>
    <row r="12" spans="1:19" ht="24" customHeight="1">
      <c r="A12" s="7"/>
      <c r="B12" s="7"/>
      <c r="C12" s="11" t="s">
        <v>63</v>
      </c>
      <c r="D12" s="11"/>
      <c r="E12" s="11"/>
      <c r="F12" s="11"/>
      <c r="G12" s="4">
        <v>36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</row>
    <row r="13" spans="1:19" ht="24" customHeight="1">
      <c r="A13" s="7"/>
      <c r="B13" s="7"/>
      <c r="C13" s="11" t="s">
        <v>64</v>
      </c>
      <c r="D13" s="11"/>
      <c r="E13" s="11"/>
      <c r="F13" s="11"/>
      <c r="G13" s="4">
        <v>627000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</row>
    <row r="14" spans="1:19" ht="24" customHeight="1">
      <c r="A14" s="7"/>
      <c r="B14" s="7"/>
      <c r="C14" s="11" t="s">
        <v>65</v>
      </c>
      <c r="D14" s="11"/>
      <c r="E14" s="11"/>
      <c r="F14" s="11"/>
      <c r="G14" s="3" t="s">
        <v>66</v>
      </c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</row>
    <row r="15" spans="1:19" ht="24" customHeight="1">
      <c r="A15" s="7"/>
      <c r="B15" s="7"/>
      <c r="C15" s="11" t="s">
        <v>67</v>
      </c>
      <c r="D15" s="11"/>
      <c r="E15" s="11"/>
      <c r="F15" s="11"/>
      <c r="G15" s="3" t="s">
        <v>68</v>
      </c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</row>
    <row r="16" spans="1:19" ht="24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</row>
    <row r="17" spans="1:19" ht="38.1" customHeight="1">
      <c r="A17" s="7"/>
      <c r="B17" s="7"/>
      <c r="C17" s="7"/>
      <c r="D17" s="7"/>
      <c r="E17" s="7"/>
      <c r="F17" s="7"/>
      <c r="G17" s="7"/>
      <c r="H17" s="31">
        <f>IF($G$6="","",DATE($G$6,1,1))</f>
        <v>46388</v>
      </c>
      <c r="I17" s="31">
        <f>IF($G$6="","",DATE($G$6,2,1))</f>
        <v>46419</v>
      </c>
      <c r="J17" s="31">
        <f>IF($G$6="","",DATE($G$6,3,1))</f>
        <v>46447</v>
      </c>
      <c r="K17" s="31">
        <f>IF($G$6="","",DATE($G$6,4,1))</f>
        <v>46478</v>
      </c>
      <c r="L17" s="31">
        <f>IF($G$6="","",DATE($G$6,5,1))</f>
        <v>46508</v>
      </c>
      <c r="M17" s="31">
        <f>IF($G$6="","",DATE($G$6,6,1))</f>
        <v>46539</v>
      </c>
      <c r="N17" s="31">
        <f>IF($G$6="","",DATE($G$6,7,1))</f>
        <v>46569</v>
      </c>
      <c r="O17" s="31">
        <f>IF($G$6="","",DATE($G$6,8,1))</f>
        <v>46600</v>
      </c>
      <c r="P17" s="31">
        <f>IF($G$6="","",DATE($G$6,9,1))</f>
        <v>46631</v>
      </c>
      <c r="Q17" s="31">
        <f>IF($G$6="","",DATE($G$6,10,1))</f>
        <v>46661</v>
      </c>
      <c r="R17" s="31">
        <f>IF($G$6="","",DATE($G$6,11,1))</f>
        <v>46692</v>
      </c>
      <c r="S17" s="31">
        <f>IF($G$6="","",DATE($G$6,12,1))</f>
        <v>46722</v>
      </c>
    </row>
    <row r="18" spans="1:19" ht="24" customHeight="1">
      <c r="A18" s="7"/>
      <c r="B18" s="7"/>
      <c r="C18" s="11" t="s">
        <v>69</v>
      </c>
      <c r="D18" s="11"/>
      <c r="E18" s="11"/>
      <c r="F18" s="11"/>
      <c r="G18" s="11"/>
      <c r="H18" s="32">
        <f t="shared" ref="H18:S18" si="0">IF($G$9="","",IF(CHOOSE($G$8,ISBLANK(H19),ISBLANK(H20),ISBLANK(H21)),"",IF(ISNUMBER(CHOOSE($G$8,H19,H20,H21)),CHOOSE($G$8,H19,H20,H21),"")))</f>
        <v>0</v>
      </c>
      <c r="I18" s="32">
        <f t="shared" si="0"/>
        <v>0</v>
      </c>
      <c r="J18" s="32">
        <f t="shared" si="0"/>
        <v>0</v>
      </c>
      <c r="K18" s="32">
        <f t="shared" si="0"/>
        <v>0</v>
      </c>
      <c r="L18" s="32">
        <f t="shared" si="0"/>
        <v>0</v>
      </c>
      <c r="M18" s="32">
        <f t="shared" si="0"/>
        <v>0</v>
      </c>
      <c r="N18" s="32">
        <f t="shared" si="0"/>
        <v>0</v>
      </c>
      <c r="O18" s="32">
        <f t="shared" si="0"/>
        <v>0</v>
      </c>
      <c r="P18" s="32">
        <f t="shared" si="0"/>
        <v>0</v>
      </c>
      <c r="Q18" s="32">
        <f t="shared" si="0"/>
        <v>0</v>
      </c>
      <c r="R18" s="32">
        <f t="shared" si="0"/>
        <v>0</v>
      </c>
      <c r="S18" s="32">
        <f t="shared" si="0"/>
        <v>0</v>
      </c>
    </row>
    <row r="19" spans="1:19" ht="24" customHeight="1">
      <c r="A19" s="7"/>
      <c r="B19" s="7"/>
      <c r="C19" s="11" t="s">
        <v>70</v>
      </c>
      <c r="D19" s="11"/>
      <c r="E19" s="11"/>
      <c r="F19" s="11"/>
      <c r="G19" s="11"/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</row>
    <row r="20" spans="1:19" ht="24" customHeight="1">
      <c r="A20" s="7"/>
      <c r="B20" s="7"/>
      <c r="C20" s="11" t="s">
        <v>71</v>
      </c>
      <c r="D20" s="11"/>
      <c r="E20" s="11"/>
      <c r="F20" s="11"/>
      <c r="G20" s="11"/>
      <c r="H20" s="5">
        <v>0.08</v>
      </c>
      <c r="I20" s="5">
        <v>0.08</v>
      </c>
      <c r="J20" s="5">
        <v>0.08</v>
      </c>
      <c r="K20" s="5">
        <v>0.08</v>
      </c>
      <c r="L20" s="5">
        <v>0.08</v>
      </c>
      <c r="M20" s="5">
        <v>0.08</v>
      </c>
      <c r="N20" s="5">
        <v>0.08</v>
      </c>
      <c r="O20" s="5">
        <v>0.08</v>
      </c>
      <c r="P20" s="5">
        <v>0.08</v>
      </c>
      <c r="Q20" s="5">
        <v>0.08</v>
      </c>
      <c r="R20" s="5">
        <v>0.08</v>
      </c>
      <c r="S20" s="5">
        <v>0.08</v>
      </c>
    </row>
    <row r="21" spans="1:19" ht="24" customHeight="1">
      <c r="A21" s="7"/>
      <c r="B21" s="7"/>
      <c r="C21" s="11" t="s">
        <v>72</v>
      </c>
      <c r="D21" s="11"/>
      <c r="E21" s="11"/>
      <c r="F21" s="11"/>
      <c r="G21" s="11"/>
      <c r="H21" s="5">
        <v>-0.1</v>
      </c>
      <c r="I21" s="5">
        <v>-0.1</v>
      </c>
      <c r="J21" s="5">
        <v>-0.1</v>
      </c>
      <c r="K21" s="5">
        <v>-0.1</v>
      </c>
      <c r="L21" s="5">
        <v>-0.1</v>
      </c>
      <c r="M21" s="5">
        <v>-0.1</v>
      </c>
      <c r="N21" s="5">
        <v>-0.1</v>
      </c>
      <c r="O21" s="5">
        <v>-0.1</v>
      </c>
      <c r="P21" s="5">
        <v>-0.1</v>
      </c>
      <c r="Q21" s="5">
        <v>-0.1</v>
      </c>
      <c r="R21" s="5">
        <v>-0.1</v>
      </c>
      <c r="S21" s="5">
        <v>-0.1</v>
      </c>
    </row>
    <row r="22" spans="1:19" ht="24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</row>
    <row r="23" spans="1:19" ht="24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</row>
    <row r="24" spans="1:19" ht="24" customHeight="1">
      <c r="A24" s="7"/>
      <c r="B24" s="7"/>
      <c r="C24" s="11" t="s">
        <v>73</v>
      </c>
      <c r="D24" s="11"/>
      <c r="E24" s="11"/>
      <c r="F24" s="11"/>
      <c r="G24" s="11"/>
      <c r="H24" s="32">
        <f t="shared" ref="H24:S24" si="1">IF($G$9="","",IF(CHOOSE($G$8,ISBLANK(H25),ISBLANK(H26),ISBLANK(H27)),"",IF(ISNUMBER(CHOOSE($G$8,H25,H26,H27)),CHOOSE($G$8,H25,H26,H27),"")))</f>
        <v>0</v>
      </c>
      <c r="I24" s="32">
        <f t="shared" si="1"/>
        <v>0</v>
      </c>
      <c r="J24" s="32">
        <f t="shared" si="1"/>
        <v>0</v>
      </c>
      <c r="K24" s="32">
        <f t="shared" si="1"/>
        <v>0</v>
      </c>
      <c r="L24" s="32">
        <f t="shared" si="1"/>
        <v>0</v>
      </c>
      <c r="M24" s="32">
        <f t="shared" si="1"/>
        <v>0</v>
      </c>
      <c r="N24" s="32">
        <f t="shared" si="1"/>
        <v>0</v>
      </c>
      <c r="O24" s="32">
        <f t="shared" si="1"/>
        <v>0</v>
      </c>
      <c r="P24" s="32">
        <f t="shared" si="1"/>
        <v>0</v>
      </c>
      <c r="Q24" s="32">
        <f t="shared" si="1"/>
        <v>0</v>
      </c>
      <c r="R24" s="32">
        <f t="shared" si="1"/>
        <v>0</v>
      </c>
      <c r="S24" s="32">
        <f t="shared" si="1"/>
        <v>0</v>
      </c>
    </row>
    <row r="25" spans="1:19" ht="24" customHeight="1">
      <c r="A25" s="7"/>
      <c r="B25" s="7"/>
      <c r="C25" s="11" t="s">
        <v>70</v>
      </c>
      <c r="D25" s="11"/>
      <c r="E25" s="11"/>
      <c r="F25" s="11"/>
      <c r="G25" s="11"/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</row>
    <row r="26" spans="1:19" ht="24" customHeight="1">
      <c r="A26" s="7"/>
      <c r="B26" s="7"/>
      <c r="C26" s="11" t="s">
        <v>71</v>
      </c>
      <c r="D26" s="11"/>
      <c r="E26" s="11"/>
      <c r="F26" s="11"/>
      <c r="G26" s="11"/>
      <c r="H26" s="5">
        <v>0.15</v>
      </c>
      <c r="I26" s="5">
        <v>0.15</v>
      </c>
      <c r="J26" s="5">
        <v>0.15</v>
      </c>
      <c r="K26" s="5">
        <v>0.15</v>
      </c>
      <c r="L26" s="5">
        <v>0.15</v>
      </c>
      <c r="M26" s="5">
        <v>0.15</v>
      </c>
      <c r="N26" s="5">
        <v>0.15</v>
      </c>
      <c r="O26" s="5">
        <v>0.15</v>
      </c>
      <c r="P26" s="5">
        <v>0.15</v>
      </c>
      <c r="Q26" s="5">
        <v>0.15</v>
      </c>
      <c r="R26" s="5">
        <v>0.15</v>
      </c>
      <c r="S26" s="5">
        <v>0.15</v>
      </c>
    </row>
    <row r="27" spans="1:19" ht="24" customHeight="1">
      <c r="A27" s="7"/>
      <c r="B27" s="7"/>
      <c r="C27" s="11" t="s">
        <v>72</v>
      </c>
      <c r="D27" s="11"/>
      <c r="E27" s="11"/>
      <c r="F27" s="11"/>
      <c r="G27" s="11"/>
      <c r="H27" s="5">
        <v>-0.2</v>
      </c>
      <c r="I27" s="5">
        <v>-0.2</v>
      </c>
      <c r="J27" s="5">
        <v>-0.2</v>
      </c>
      <c r="K27" s="5">
        <v>-0.2</v>
      </c>
      <c r="L27" s="5">
        <v>-0.2</v>
      </c>
      <c r="M27" s="5">
        <v>-0.2</v>
      </c>
      <c r="N27" s="5">
        <v>-0.2</v>
      </c>
      <c r="O27" s="5">
        <v>-0.2</v>
      </c>
      <c r="P27" s="5">
        <v>-0.2</v>
      </c>
      <c r="Q27" s="5">
        <v>-0.2</v>
      </c>
      <c r="R27" s="5">
        <v>-0.2</v>
      </c>
      <c r="S27" s="5">
        <v>-0.2</v>
      </c>
    </row>
    <row r="28" spans="1:19" ht="24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</row>
    <row r="29" spans="1:19" ht="24" customHeight="1">
      <c r="A29" s="7"/>
      <c r="B29" s="7"/>
      <c r="C29" s="11" t="s">
        <v>74</v>
      </c>
      <c r="D29" s="11"/>
      <c r="E29" s="11"/>
      <c r="F29" s="11"/>
      <c r="G29" s="3" t="s">
        <v>75</v>
      </c>
      <c r="H29" s="3" t="s">
        <v>76</v>
      </c>
      <c r="I29" s="3" t="s">
        <v>77</v>
      </c>
      <c r="J29" s="3" t="s">
        <v>78</v>
      </c>
      <c r="K29" s="7"/>
      <c r="L29" s="7"/>
      <c r="M29" s="7"/>
      <c r="N29" s="7"/>
      <c r="O29" s="7"/>
      <c r="P29" s="7"/>
      <c r="Q29" s="7"/>
      <c r="R29" s="7"/>
      <c r="S29" s="7"/>
    </row>
    <row r="30" spans="1:19" ht="24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</row>
    <row r="31" spans="1:19" ht="24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19" ht="26.1" customHeight="1">
      <c r="A32" s="7"/>
      <c r="B32" s="7"/>
      <c r="C32" s="23" t="s">
        <v>79</v>
      </c>
      <c r="D32" s="23"/>
      <c r="E32" s="23"/>
      <c r="F32" s="23"/>
      <c r="G32" s="23"/>
      <c r="H32" s="23"/>
      <c r="I32" s="23"/>
      <c r="J32" s="23"/>
      <c r="K32" s="23"/>
      <c r="L32" s="23"/>
      <c r="M32" s="7"/>
      <c r="N32" s="7"/>
      <c r="O32" s="7"/>
      <c r="P32" s="7"/>
      <c r="Q32" s="7"/>
      <c r="R32" s="7"/>
      <c r="S32" s="7"/>
    </row>
    <row r="33" spans="1:19" ht="24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 ht="38.1" customHeight="1">
      <c r="A34" s="7"/>
      <c r="B34" s="7"/>
      <c r="C34" s="21" t="s">
        <v>80</v>
      </c>
      <c r="D34" s="21" t="s">
        <v>81</v>
      </c>
      <c r="E34" s="21" t="s">
        <v>82</v>
      </c>
      <c r="F34" s="21" t="s">
        <v>83</v>
      </c>
      <c r="G34" s="21" t="str">
        <f>G29</f>
        <v>Produkcja</v>
      </c>
      <c r="H34" s="21" t="str">
        <f>H29</f>
        <v>Logistyka</v>
      </c>
      <c r="I34" s="21" t="str">
        <f>I29</f>
        <v>Sprzedaż</v>
      </c>
      <c r="J34" s="21" t="str">
        <f>J29</f>
        <v>Administracja</v>
      </c>
      <c r="K34" s="21" t="s">
        <v>84</v>
      </c>
      <c r="L34" s="21" t="s">
        <v>85</v>
      </c>
      <c r="M34" s="7"/>
      <c r="N34" s="7"/>
      <c r="O34" s="7"/>
      <c r="P34" s="7"/>
      <c r="Q34" s="7"/>
      <c r="R34" s="7"/>
      <c r="S34" s="7"/>
    </row>
    <row r="35" spans="1:19" ht="24" customHeight="1">
      <c r="A35" s="7"/>
      <c r="B35" s="7"/>
      <c r="C35" s="3" t="s">
        <v>86</v>
      </c>
      <c r="D35" s="3" t="s">
        <v>87</v>
      </c>
      <c r="E35" s="3" t="s">
        <v>88</v>
      </c>
      <c r="F35" s="3" t="s">
        <v>89</v>
      </c>
      <c r="G35" s="3">
        <v>1</v>
      </c>
      <c r="H35" s="3">
        <v>0</v>
      </c>
      <c r="I35" s="3">
        <v>0</v>
      </c>
      <c r="J35" s="3">
        <v>0</v>
      </c>
      <c r="K35" s="7">
        <f t="shared" ref="K35:K46" si="2">IF(C35="","",SUM(G35:J35))</f>
        <v>1</v>
      </c>
      <c r="L35" s="7">
        <f t="shared" ref="L35:L46" si="3">IF(C35="",0,IF(OR(COUNTIFS($C$35:$C$46,C35)&lt;&gt;1,D35="",E35="",F35="",COUNT(G35:J35)&lt;&gt;4,MIN(G35:J35)&lt;0,K35&lt;=0),1,0))</f>
        <v>0</v>
      </c>
      <c r="M35" s="7"/>
      <c r="N35" s="7"/>
      <c r="O35" s="7"/>
      <c r="P35" s="7"/>
      <c r="Q35" s="7"/>
      <c r="R35" s="7"/>
      <c r="S35" s="7"/>
    </row>
    <row r="36" spans="1:19" ht="24" customHeight="1">
      <c r="A36" s="7"/>
      <c r="B36" s="7"/>
      <c r="C36" s="3" t="s">
        <v>90</v>
      </c>
      <c r="D36" s="3" t="s">
        <v>91</v>
      </c>
      <c r="E36" s="3" t="s">
        <v>88</v>
      </c>
      <c r="F36" s="3" t="s">
        <v>89</v>
      </c>
      <c r="G36" s="3">
        <v>0</v>
      </c>
      <c r="H36" s="3">
        <v>1</v>
      </c>
      <c r="I36" s="3">
        <v>0</v>
      </c>
      <c r="J36" s="3">
        <v>0</v>
      </c>
      <c r="K36" s="7">
        <f t="shared" si="2"/>
        <v>1</v>
      </c>
      <c r="L36" s="7">
        <f t="shared" si="3"/>
        <v>0</v>
      </c>
      <c r="M36" s="7"/>
      <c r="N36" s="7"/>
      <c r="O36" s="7"/>
      <c r="P36" s="7"/>
      <c r="Q36" s="7"/>
      <c r="R36" s="7"/>
      <c r="S36" s="7"/>
    </row>
    <row r="37" spans="1:19" ht="24" customHeight="1">
      <c r="A37" s="7"/>
      <c r="B37" s="7"/>
      <c r="C37" s="3" t="s">
        <v>92</v>
      </c>
      <c r="D37" s="3" t="s">
        <v>93</v>
      </c>
      <c r="E37" s="3" t="s">
        <v>94</v>
      </c>
      <c r="F37" s="3" t="s">
        <v>89</v>
      </c>
      <c r="G37" s="3">
        <v>120</v>
      </c>
      <c r="H37" s="3">
        <v>40</v>
      </c>
      <c r="I37" s="3">
        <v>30</v>
      </c>
      <c r="J37" s="3">
        <v>10</v>
      </c>
      <c r="K37" s="7">
        <f t="shared" si="2"/>
        <v>200</v>
      </c>
      <c r="L37" s="7">
        <f t="shared" si="3"/>
        <v>0</v>
      </c>
      <c r="M37" s="7"/>
      <c r="N37" s="7"/>
      <c r="O37" s="7"/>
      <c r="P37" s="7"/>
      <c r="Q37" s="7"/>
      <c r="R37" s="7"/>
      <c r="S37" s="7"/>
    </row>
    <row r="38" spans="1:19" ht="24" customHeight="1">
      <c r="A38" s="7"/>
      <c r="B38" s="7"/>
      <c r="C38" s="3" t="s">
        <v>95</v>
      </c>
      <c r="D38" s="3" t="s">
        <v>96</v>
      </c>
      <c r="E38" s="3" t="s">
        <v>97</v>
      </c>
      <c r="F38" s="3" t="s">
        <v>89</v>
      </c>
      <c r="G38" s="3">
        <v>70</v>
      </c>
      <c r="H38" s="3">
        <v>20</v>
      </c>
      <c r="I38" s="3">
        <v>5</v>
      </c>
      <c r="J38" s="3">
        <v>5</v>
      </c>
      <c r="K38" s="7">
        <f t="shared" si="2"/>
        <v>100</v>
      </c>
      <c r="L38" s="7">
        <f t="shared" si="3"/>
        <v>0</v>
      </c>
      <c r="M38" s="7"/>
      <c r="N38" s="7"/>
      <c r="O38" s="7"/>
      <c r="P38" s="7"/>
      <c r="Q38" s="7"/>
      <c r="R38" s="7"/>
      <c r="S38" s="7"/>
    </row>
    <row r="39" spans="1:19" ht="24" customHeight="1">
      <c r="A39" s="7"/>
      <c r="B39" s="7"/>
      <c r="C39" s="3" t="s">
        <v>98</v>
      </c>
      <c r="D39" s="3" t="s">
        <v>99</v>
      </c>
      <c r="E39" s="3" t="s">
        <v>100</v>
      </c>
      <c r="F39" s="3" t="s">
        <v>89</v>
      </c>
      <c r="G39" s="3">
        <v>65</v>
      </c>
      <c r="H39" s="3">
        <v>20</v>
      </c>
      <c r="I39" s="3">
        <v>10</v>
      </c>
      <c r="J39" s="3">
        <v>5</v>
      </c>
      <c r="K39" s="7">
        <f t="shared" si="2"/>
        <v>100</v>
      </c>
      <c r="L39" s="7">
        <f t="shared" si="3"/>
        <v>0</v>
      </c>
      <c r="M39" s="7"/>
      <c r="N39" s="7"/>
      <c r="O39" s="7"/>
      <c r="P39" s="7"/>
      <c r="Q39" s="7"/>
      <c r="R39" s="7"/>
      <c r="S39" s="7"/>
    </row>
    <row r="40" spans="1:19" ht="24" customHeight="1">
      <c r="A40" s="7"/>
      <c r="B40" s="7"/>
      <c r="C40" s="3" t="s">
        <v>101</v>
      </c>
      <c r="D40" s="3" t="s">
        <v>102</v>
      </c>
      <c r="E40" s="3" t="s">
        <v>103</v>
      </c>
      <c r="F40" s="3" t="s">
        <v>89</v>
      </c>
      <c r="G40" s="3">
        <v>90</v>
      </c>
      <c r="H40" s="3">
        <v>20</v>
      </c>
      <c r="I40" s="3">
        <v>20</v>
      </c>
      <c r="J40" s="3">
        <v>20</v>
      </c>
      <c r="K40" s="7">
        <f t="shared" si="2"/>
        <v>150</v>
      </c>
      <c r="L40" s="7">
        <f t="shared" si="3"/>
        <v>0</v>
      </c>
      <c r="M40" s="7"/>
      <c r="N40" s="7"/>
      <c r="O40" s="7"/>
      <c r="P40" s="7"/>
      <c r="Q40" s="7"/>
      <c r="R40" s="7"/>
      <c r="S40" s="7"/>
    </row>
    <row r="41" spans="1:19" ht="24" customHeight="1">
      <c r="A41" s="7"/>
      <c r="B41" s="7"/>
      <c r="C41" s="3" t="s">
        <v>104</v>
      </c>
      <c r="D41" s="3" t="s">
        <v>105</v>
      </c>
      <c r="E41" s="3" t="s">
        <v>106</v>
      </c>
      <c r="F41" s="3" t="s">
        <v>89</v>
      </c>
      <c r="G41" s="3">
        <v>40</v>
      </c>
      <c r="H41" s="3">
        <v>20</v>
      </c>
      <c r="I41" s="3">
        <v>10</v>
      </c>
      <c r="J41" s="3">
        <v>10</v>
      </c>
      <c r="K41" s="7">
        <f t="shared" si="2"/>
        <v>80</v>
      </c>
      <c r="L41" s="7">
        <f t="shared" si="3"/>
        <v>0</v>
      </c>
      <c r="M41" s="7"/>
      <c r="N41" s="7"/>
      <c r="O41" s="7"/>
      <c r="P41" s="7"/>
      <c r="Q41" s="7"/>
      <c r="R41" s="7"/>
      <c r="S41" s="7"/>
    </row>
    <row r="42" spans="1:19" ht="24" customHeight="1">
      <c r="A42" s="7"/>
      <c r="B42" s="7"/>
      <c r="C42" s="3"/>
      <c r="D42" s="3"/>
      <c r="E42" s="3"/>
      <c r="F42" s="3"/>
      <c r="G42" s="3"/>
      <c r="H42" s="3"/>
      <c r="I42" s="3"/>
      <c r="J42" s="3"/>
      <c r="K42" s="7" t="str">
        <f t="shared" si="2"/>
        <v/>
      </c>
      <c r="L42" s="7">
        <f t="shared" si="3"/>
        <v>0</v>
      </c>
      <c r="M42" s="7"/>
      <c r="N42" s="7"/>
      <c r="O42" s="7"/>
      <c r="P42" s="7"/>
      <c r="Q42" s="7"/>
      <c r="R42" s="7"/>
      <c r="S42" s="7"/>
    </row>
    <row r="43" spans="1:19" ht="24" customHeight="1">
      <c r="A43" s="7"/>
      <c r="B43" s="7"/>
      <c r="C43" s="3"/>
      <c r="D43" s="3"/>
      <c r="E43" s="3"/>
      <c r="F43" s="3"/>
      <c r="G43" s="3"/>
      <c r="H43" s="3"/>
      <c r="I43" s="3"/>
      <c r="J43" s="3"/>
      <c r="K43" s="7" t="str">
        <f t="shared" si="2"/>
        <v/>
      </c>
      <c r="L43" s="7">
        <f t="shared" si="3"/>
        <v>0</v>
      </c>
      <c r="M43" s="7"/>
      <c r="N43" s="7"/>
      <c r="O43" s="7"/>
      <c r="P43" s="7"/>
      <c r="Q43" s="7"/>
      <c r="R43" s="7"/>
      <c r="S43" s="7"/>
    </row>
    <row r="44" spans="1:19" ht="24" customHeight="1">
      <c r="A44" s="7"/>
      <c r="B44" s="7"/>
      <c r="C44" s="3"/>
      <c r="D44" s="3"/>
      <c r="E44" s="3"/>
      <c r="F44" s="3"/>
      <c r="G44" s="3"/>
      <c r="H44" s="3"/>
      <c r="I44" s="3"/>
      <c r="J44" s="3"/>
      <c r="K44" s="7" t="str">
        <f t="shared" si="2"/>
        <v/>
      </c>
      <c r="L44" s="7">
        <f t="shared" si="3"/>
        <v>0</v>
      </c>
      <c r="M44" s="7"/>
      <c r="N44" s="7"/>
      <c r="O44" s="7"/>
      <c r="P44" s="7"/>
      <c r="Q44" s="7"/>
      <c r="R44" s="7"/>
      <c r="S44" s="7"/>
    </row>
    <row r="45" spans="1:19" ht="24" customHeight="1">
      <c r="A45" s="7"/>
      <c r="B45" s="7"/>
      <c r="C45" s="3"/>
      <c r="D45" s="3"/>
      <c r="E45" s="3"/>
      <c r="F45" s="3"/>
      <c r="G45" s="3"/>
      <c r="H45" s="3"/>
      <c r="I45" s="3"/>
      <c r="J45" s="3"/>
      <c r="K45" s="7" t="str">
        <f t="shared" si="2"/>
        <v/>
      </c>
      <c r="L45" s="7">
        <f t="shared" si="3"/>
        <v>0</v>
      </c>
      <c r="M45" s="7"/>
      <c r="N45" s="7"/>
      <c r="O45" s="7"/>
      <c r="P45" s="7"/>
      <c r="Q45" s="7"/>
      <c r="R45" s="7"/>
      <c r="S45" s="7"/>
    </row>
    <row r="46" spans="1:19" ht="24" customHeight="1">
      <c r="A46" s="7"/>
      <c r="B46" s="7"/>
      <c r="C46" s="3"/>
      <c r="D46" s="3"/>
      <c r="E46" s="3"/>
      <c r="F46" s="3"/>
      <c r="G46" s="3"/>
      <c r="H46" s="3"/>
      <c r="I46" s="3"/>
      <c r="J46" s="3"/>
      <c r="K46" s="7" t="str">
        <f t="shared" si="2"/>
        <v/>
      </c>
      <c r="L46" s="7">
        <f t="shared" si="3"/>
        <v>0</v>
      </c>
      <c r="M46" s="7"/>
      <c r="N46" s="7"/>
      <c r="O46" s="7"/>
      <c r="P46" s="7"/>
      <c r="Q46" s="7"/>
      <c r="R46" s="7"/>
      <c r="S46" s="7"/>
    </row>
    <row r="47" spans="1:19" ht="24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 ht="24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 ht="24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 ht="24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</row>
    <row r="51" spans="1:19" ht="26.1" customHeight="1">
      <c r="A51" s="7"/>
      <c r="B51" s="7"/>
      <c r="C51" s="23" t="s">
        <v>107</v>
      </c>
      <c r="D51" s="23"/>
      <c r="E51" s="23"/>
      <c r="F51" s="23"/>
      <c r="G51" s="23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 ht="24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</row>
    <row r="53" spans="1:19" ht="38.1" customHeight="1">
      <c r="A53" s="7"/>
      <c r="B53" s="7"/>
      <c r="C53" s="21" t="s">
        <v>108</v>
      </c>
      <c r="D53" s="21" t="s">
        <v>109</v>
      </c>
      <c r="E53" s="21" t="s">
        <v>110</v>
      </c>
      <c r="F53" s="21" t="s">
        <v>85</v>
      </c>
      <c r="G53" s="21" t="s">
        <v>111</v>
      </c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</row>
    <row r="54" spans="1:19" ht="24" customHeight="1">
      <c r="A54" s="7"/>
      <c r="B54" s="7"/>
      <c r="C54" s="3" t="s">
        <v>112</v>
      </c>
      <c r="D54" s="3" t="s">
        <v>113</v>
      </c>
      <c r="E54" s="3" t="s">
        <v>114</v>
      </c>
      <c r="F54" s="13">
        <f>IF(C54="",0,IF(OR(COUNTIFS($C$54:$C$113,C54)&lt;&gt;1,COUNTIFS(Plan!$C$9:$C$38,D54)&lt;&gt;1),1,0))</f>
        <v>0</v>
      </c>
      <c r="G54" s="3" t="s">
        <v>66</v>
      </c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</row>
    <row r="55" spans="1:19" ht="24" customHeight="1">
      <c r="A55" s="7"/>
      <c r="B55" s="7"/>
      <c r="C55" s="3" t="s">
        <v>115</v>
      </c>
      <c r="D55" s="3" t="s">
        <v>116</v>
      </c>
      <c r="E55" s="3" t="s">
        <v>117</v>
      </c>
      <c r="F55" s="13">
        <f>IF(C55="",0,IF(OR(COUNTIFS($C$54:$C$113,C55)&lt;&gt;1,COUNTIFS(Plan!$C$9:$C$38,D55)&lt;&gt;1),1,0))</f>
        <v>0</v>
      </c>
      <c r="G55" s="3" t="s">
        <v>66</v>
      </c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</row>
    <row r="56" spans="1:19" ht="24" customHeight="1">
      <c r="A56" s="7"/>
      <c r="B56" s="7"/>
      <c r="C56" s="3" t="s">
        <v>118</v>
      </c>
      <c r="D56" s="3" t="s">
        <v>119</v>
      </c>
      <c r="E56" s="3" t="s">
        <v>120</v>
      </c>
      <c r="F56" s="13">
        <f>IF(C56="",0,IF(OR(COUNTIFS($C$54:$C$113,C56)&lt;&gt;1,COUNTIFS(Plan!$C$9:$C$38,D56)&lt;&gt;1),1,0))</f>
        <v>0</v>
      </c>
      <c r="G56" s="3" t="s">
        <v>66</v>
      </c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</row>
    <row r="57" spans="1:19" ht="24" customHeight="1">
      <c r="A57" s="7"/>
      <c r="B57" s="7"/>
      <c r="C57" s="3" t="s">
        <v>121</v>
      </c>
      <c r="D57" s="3" t="s">
        <v>122</v>
      </c>
      <c r="E57" s="3" t="s">
        <v>123</v>
      </c>
      <c r="F57" s="13">
        <f>IF(C57="",0,IF(OR(COUNTIFS($C$54:$C$113,C57)&lt;&gt;1,COUNTIFS(Plan!$C$9:$C$38,D57)&lt;&gt;1),1,0))</f>
        <v>0</v>
      </c>
      <c r="G57" s="3" t="s">
        <v>66</v>
      </c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</row>
    <row r="58" spans="1:19" ht="24" customHeight="1">
      <c r="A58" s="7"/>
      <c r="B58" s="7"/>
      <c r="C58" s="3" t="s">
        <v>124</v>
      </c>
      <c r="D58" s="3" t="s">
        <v>125</v>
      </c>
      <c r="E58" s="3" t="s">
        <v>126</v>
      </c>
      <c r="F58" s="13">
        <f>IF(C58="",0,IF(OR(COUNTIFS($C$54:$C$113,C58)&lt;&gt;1,COUNTIFS(Plan!$C$9:$C$38,D58)&lt;&gt;1),1,0))</f>
        <v>0</v>
      </c>
      <c r="G58" s="3" t="s">
        <v>66</v>
      </c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</row>
    <row r="59" spans="1:19" ht="24" customHeight="1">
      <c r="A59" s="7"/>
      <c r="B59" s="7"/>
      <c r="C59" s="3" t="s">
        <v>127</v>
      </c>
      <c r="D59" s="3" t="s">
        <v>128</v>
      </c>
      <c r="E59" s="3" t="s">
        <v>129</v>
      </c>
      <c r="F59" s="13">
        <f>IF(C59="",0,IF(OR(COUNTIFS($C$54:$C$113,C59)&lt;&gt;1,COUNTIFS(Plan!$C$9:$C$38,D59)&lt;&gt;1),1,0))</f>
        <v>0</v>
      </c>
      <c r="G59" s="3" t="s">
        <v>66</v>
      </c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</row>
    <row r="60" spans="1:19" ht="24" customHeight="1">
      <c r="A60" s="7"/>
      <c r="B60" s="7"/>
      <c r="C60" s="3" t="s">
        <v>130</v>
      </c>
      <c r="D60" s="3" t="s">
        <v>131</v>
      </c>
      <c r="E60" s="3" t="s">
        <v>132</v>
      </c>
      <c r="F60" s="13">
        <f>IF(C60="",0,IF(OR(COUNTIFS($C$54:$C$113,C60)&lt;&gt;1,COUNTIFS(Plan!$C$9:$C$38,D60)&lt;&gt;1),1,0))</f>
        <v>0</v>
      </c>
      <c r="G60" s="3" t="s">
        <v>66</v>
      </c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</row>
    <row r="61" spans="1:19" ht="24" customHeight="1">
      <c r="A61" s="7"/>
      <c r="B61" s="7"/>
      <c r="C61" s="3" t="s">
        <v>133</v>
      </c>
      <c r="D61" s="3" t="s">
        <v>134</v>
      </c>
      <c r="E61" s="3" t="s">
        <v>135</v>
      </c>
      <c r="F61" s="13">
        <f>IF(C61="",0,IF(OR(COUNTIFS($C$54:$C$113,C61)&lt;&gt;1,COUNTIFS(Plan!$C$9:$C$38,D61)&lt;&gt;1),1,0))</f>
        <v>0</v>
      </c>
      <c r="G61" s="3" t="s">
        <v>66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</row>
    <row r="62" spans="1:19" ht="24" customHeight="1">
      <c r="A62" s="7"/>
      <c r="B62" s="7"/>
      <c r="C62" s="3" t="s">
        <v>136</v>
      </c>
      <c r="D62" s="3" t="s">
        <v>137</v>
      </c>
      <c r="E62" s="3" t="s">
        <v>138</v>
      </c>
      <c r="F62" s="13">
        <f>IF(C62="",0,IF(OR(COUNTIFS($C$54:$C$113,C62)&lt;&gt;1,COUNTIFS(Plan!$C$9:$C$38,D62)&lt;&gt;1),1,0))</f>
        <v>0</v>
      </c>
      <c r="G62" s="3" t="s">
        <v>66</v>
      </c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</row>
    <row r="63" spans="1:19" ht="24" customHeight="1">
      <c r="A63" s="7"/>
      <c r="B63" s="7"/>
      <c r="C63" s="3" t="s">
        <v>139</v>
      </c>
      <c r="D63" s="3" t="s">
        <v>140</v>
      </c>
      <c r="E63" s="3" t="s">
        <v>141</v>
      </c>
      <c r="F63" s="13">
        <f>IF(C63="",0,IF(OR(COUNTIFS($C$54:$C$113,C63)&lt;&gt;1,COUNTIFS(Plan!$C$9:$C$38,D63)&lt;&gt;1),1,0))</f>
        <v>0</v>
      </c>
      <c r="G63" s="3" t="s">
        <v>66</v>
      </c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</row>
    <row r="64" spans="1:19" ht="24" customHeight="1">
      <c r="A64" s="7"/>
      <c r="B64" s="7"/>
      <c r="C64" s="3" t="s">
        <v>142</v>
      </c>
      <c r="D64" s="3" t="s">
        <v>143</v>
      </c>
      <c r="E64" s="3" t="s">
        <v>144</v>
      </c>
      <c r="F64" s="13">
        <f>IF(C64="",0,IF(OR(COUNTIFS($C$54:$C$113,C64)&lt;&gt;1,COUNTIFS(Plan!$C$9:$C$38,D64)&lt;&gt;1),1,0))</f>
        <v>0</v>
      </c>
      <c r="G64" s="3" t="s">
        <v>66</v>
      </c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</row>
    <row r="65" spans="1:19" ht="24" customHeight="1">
      <c r="A65" s="7"/>
      <c r="B65" s="7"/>
      <c r="C65" s="3" t="s">
        <v>145</v>
      </c>
      <c r="D65" s="3" t="s">
        <v>146</v>
      </c>
      <c r="E65" s="3" t="s">
        <v>147</v>
      </c>
      <c r="F65" s="13">
        <f>IF(C65="",0,IF(OR(COUNTIFS($C$54:$C$113,C65)&lt;&gt;1,COUNTIFS(Plan!$C$9:$C$38,D65)&lt;&gt;1),1,0))</f>
        <v>0</v>
      </c>
      <c r="G65" s="3" t="s">
        <v>66</v>
      </c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</row>
    <row r="66" spans="1:19" ht="24" customHeight="1">
      <c r="A66" s="7"/>
      <c r="B66" s="7"/>
      <c r="C66" s="3" t="s">
        <v>148</v>
      </c>
      <c r="D66" s="3" t="s">
        <v>149</v>
      </c>
      <c r="E66" s="3" t="s">
        <v>150</v>
      </c>
      <c r="F66" s="13">
        <f>IF(C66="",0,IF(OR(COUNTIFS($C$54:$C$113,C66)&lt;&gt;1,COUNTIFS(Plan!$C$9:$C$38,D66)&lt;&gt;1),1,0))</f>
        <v>0</v>
      </c>
      <c r="G66" s="3" t="s">
        <v>66</v>
      </c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</row>
    <row r="67" spans="1:19" ht="24" customHeight="1">
      <c r="A67" s="7"/>
      <c r="B67" s="7"/>
      <c r="C67" s="3"/>
      <c r="D67" s="3"/>
      <c r="E67" s="3"/>
      <c r="F67" s="13">
        <f>IF(C67="",0,IF(OR(COUNTIFS($C$54:$C$113,C67)&lt;&gt;1,COUNTIFS(Plan!$C$9:$C$38,D67)&lt;&gt;1),1,0))</f>
        <v>0</v>
      </c>
      <c r="G67" s="3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</row>
    <row r="68" spans="1:19" ht="24" customHeight="1">
      <c r="A68" s="7"/>
      <c r="B68" s="7"/>
      <c r="C68" s="3"/>
      <c r="D68" s="3"/>
      <c r="E68" s="3"/>
      <c r="F68" s="13">
        <f>IF(C68="",0,IF(OR(COUNTIFS($C$54:$C$113,C68)&lt;&gt;1,COUNTIFS(Plan!$C$9:$C$38,D68)&lt;&gt;1),1,0))</f>
        <v>0</v>
      </c>
      <c r="G68" s="3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ht="24" customHeight="1">
      <c r="A69" s="7"/>
      <c r="B69" s="7"/>
      <c r="C69" s="3"/>
      <c r="D69" s="3"/>
      <c r="E69" s="3"/>
      <c r="F69" s="13">
        <f>IF(C69="",0,IF(OR(COUNTIFS($C$54:$C$113,C69)&lt;&gt;1,COUNTIFS(Plan!$C$9:$C$38,D69)&lt;&gt;1),1,0))</f>
        <v>0</v>
      </c>
      <c r="G69" s="3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</row>
    <row r="70" spans="1:19" ht="24" customHeight="1">
      <c r="A70" s="7"/>
      <c r="B70" s="7"/>
      <c r="C70" s="3"/>
      <c r="D70" s="3"/>
      <c r="E70" s="3"/>
      <c r="F70" s="13">
        <f>IF(C70="",0,IF(OR(COUNTIFS($C$54:$C$113,C70)&lt;&gt;1,COUNTIFS(Plan!$C$9:$C$38,D70)&lt;&gt;1),1,0))</f>
        <v>0</v>
      </c>
      <c r="G70" s="3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</row>
    <row r="71" spans="1:19" ht="24" customHeight="1">
      <c r="A71" s="7"/>
      <c r="B71" s="7"/>
      <c r="C71" s="3"/>
      <c r="D71" s="3"/>
      <c r="E71" s="3"/>
      <c r="F71" s="13">
        <f>IF(C71="",0,IF(OR(COUNTIFS($C$54:$C$113,C71)&lt;&gt;1,COUNTIFS(Plan!$C$9:$C$38,D71)&lt;&gt;1),1,0))</f>
        <v>0</v>
      </c>
      <c r="G71" s="3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</row>
    <row r="72" spans="1:19" ht="24" customHeight="1">
      <c r="A72" s="7"/>
      <c r="B72" s="7"/>
      <c r="C72" s="3"/>
      <c r="D72" s="3"/>
      <c r="E72" s="3"/>
      <c r="F72" s="13">
        <f>IF(C72="",0,IF(OR(COUNTIFS($C$54:$C$113,C72)&lt;&gt;1,COUNTIFS(Plan!$C$9:$C$38,D72)&lt;&gt;1),1,0))</f>
        <v>0</v>
      </c>
      <c r="G72" s="3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</row>
    <row r="73" spans="1:19" ht="24" customHeight="1">
      <c r="A73" s="7"/>
      <c r="B73" s="7"/>
      <c r="C73" s="3"/>
      <c r="D73" s="3"/>
      <c r="E73" s="3"/>
      <c r="F73" s="13">
        <f>IF(C73="",0,IF(OR(COUNTIFS($C$54:$C$113,C73)&lt;&gt;1,COUNTIFS(Plan!$C$9:$C$38,D73)&lt;&gt;1),1,0))</f>
        <v>0</v>
      </c>
      <c r="G73" s="3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</row>
    <row r="74" spans="1:19" ht="24" customHeight="1">
      <c r="A74" s="7"/>
      <c r="B74" s="7"/>
      <c r="C74" s="3"/>
      <c r="D74" s="3"/>
      <c r="E74" s="3"/>
      <c r="F74" s="13">
        <f>IF(C74="",0,IF(OR(COUNTIFS($C$54:$C$113,C74)&lt;&gt;1,COUNTIFS(Plan!$C$9:$C$38,D74)&lt;&gt;1),1,0))</f>
        <v>0</v>
      </c>
      <c r="G74" s="3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</row>
    <row r="75" spans="1:19" ht="24" customHeight="1">
      <c r="A75" s="7"/>
      <c r="B75" s="7"/>
      <c r="C75" s="3"/>
      <c r="D75" s="3"/>
      <c r="E75" s="3"/>
      <c r="F75" s="13">
        <f>IF(C75="",0,IF(OR(COUNTIFS($C$54:$C$113,C75)&lt;&gt;1,COUNTIFS(Plan!$C$9:$C$38,D75)&lt;&gt;1),1,0))</f>
        <v>0</v>
      </c>
      <c r="G75" s="3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</row>
    <row r="76" spans="1:19" ht="24" customHeight="1">
      <c r="A76" s="7"/>
      <c r="B76" s="7"/>
      <c r="C76" s="3"/>
      <c r="D76" s="3"/>
      <c r="E76" s="3"/>
      <c r="F76" s="13">
        <f>IF(C76="",0,IF(OR(COUNTIFS($C$54:$C$113,C76)&lt;&gt;1,COUNTIFS(Plan!$C$9:$C$38,D76)&lt;&gt;1),1,0))</f>
        <v>0</v>
      </c>
      <c r="G76" s="3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</row>
    <row r="77" spans="1:19" ht="24" customHeight="1">
      <c r="A77" s="7"/>
      <c r="B77" s="7"/>
      <c r="C77" s="3"/>
      <c r="D77" s="3"/>
      <c r="E77" s="3"/>
      <c r="F77" s="13">
        <f>IF(C77="",0,IF(OR(COUNTIFS($C$54:$C$113,C77)&lt;&gt;1,COUNTIFS(Plan!$C$9:$C$38,D77)&lt;&gt;1),1,0))</f>
        <v>0</v>
      </c>
      <c r="G77" s="3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</row>
    <row r="78" spans="1:19" ht="24" customHeight="1">
      <c r="A78" s="7"/>
      <c r="B78" s="7"/>
      <c r="C78" s="3"/>
      <c r="D78" s="3"/>
      <c r="E78" s="3"/>
      <c r="F78" s="13">
        <f>IF(C78="",0,IF(OR(COUNTIFS($C$54:$C$113,C78)&lt;&gt;1,COUNTIFS(Plan!$C$9:$C$38,D78)&lt;&gt;1),1,0))</f>
        <v>0</v>
      </c>
      <c r="G78" s="3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</row>
    <row r="79" spans="1:19" ht="24" customHeight="1">
      <c r="A79" s="7"/>
      <c r="B79" s="7"/>
      <c r="C79" s="3"/>
      <c r="D79" s="3"/>
      <c r="E79" s="3"/>
      <c r="F79" s="13">
        <f>IF(C79="",0,IF(OR(COUNTIFS($C$54:$C$113,C79)&lt;&gt;1,COUNTIFS(Plan!$C$9:$C$38,D79)&lt;&gt;1),1,0))</f>
        <v>0</v>
      </c>
      <c r="G79" s="3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</row>
    <row r="80" spans="1:19" ht="24" customHeight="1">
      <c r="A80" s="7"/>
      <c r="B80" s="7"/>
      <c r="C80" s="3"/>
      <c r="D80" s="3"/>
      <c r="E80" s="3"/>
      <c r="F80" s="13">
        <f>IF(C80="",0,IF(OR(COUNTIFS($C$54:$C$113,C80)&lt;&gt;1,COUNTIFS(Plan!$C$9:$C$38,D80)&lt;&gt;1),1,0))</f>
        <v>0</v>
      </c>
      <c r="G80" s="3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</row>
    <row r="81" spans="1:19" ht="24" customHeight="1">
      <c r="A81" s="7"/>
      <c r="B81" s="7"/>
      <c r="C81" s="3"/>
      <c r="D81" s="3"/>
      <c r="E81" s="3"/>
      <c r="F81" s="13">
        <f>IF(C81="",0,IF(OR(COUNTIFS($C$54:$C$113,C81)&lt;&gt;1,COUNTIFS(Plan!$C$9:$C$38,D81)&lt;&gt;1),1,0))</f>
        <v>0</v>
      </c>
      <c r="G81" s="3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</row>
    <row r="82" spans="1:19" ht="24" customHeight="1">
      <c r="A82" s="7"/>
      <c r="B82" s="7"/>
      <c r="C82" s="3"/>
      <c r="D82" s="3"/>
      <c r="E82" s="3"/>
      <c r="F82" s="13">
        <f>IF(C82="",0,IF(OR(COUNTIFS($C$54:$C$113,C82)&lt;&gt;1,COUNTIFS(Plan!$C$9:$C$38,D82)&lt;&gt;1),1,0))</f>
        <v>0</v>
      </c>
      <c r="G82" s="3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</row>
    <row r="83" spans="1:19" ht="24" customHeight="1">
      <c r="A83" s="7"/>
      <c r="B83" s="7"/>
      <c r="C83" s="3"/>
      <c r="D83" s="3"/>
      <c r="E83" s="3"/>
      <c r="F83" s="13">
        <f>IF(C83="",0,IF(OR(COUNTIFS($C$54:$C$113,C83)&lt;&gt;1,COUNTIFS(Plan!$C$9:$C$38,D83)&lt;&gt;1),1,0))</f>
        <v>0</v>
      </c>
      <c r="G83" s="3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</row>
    <row r="84" spans="1:19" ht="24" customHeight="1">
      <c r="A84" s="7"/>
      <c r="B84" s="7"/>
      <c r="C84" s="3"/>
      <c r="D84" s="3"/>
      <c r="E84" s="3"/>
      <c r="F84" s="13">
        <f>IF(C84="",0,IF(OR(COUNTIFS($C$54:$C$113,C84)&lt;&gt;1,COUNTIFS(Plan!$C$9:$C$38,D84)&lt;&gt;1),1,0))</f>
        <v>0</v>
      </c>
      <c r="G84" s="3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</row>
    <row r="85" spans="1:19" ht="24" customHeight="1">
      <c r="A85" s="7"/>
      <c r="B85" s="7"/>
      <c r="C85" s="3"/>
      <c r="D85" s="3"/>
      <c r="E85" s="3"/>
      <c r="F85" s="13">
        <f>IF(C85="",0,IF(OR(COUNTIFS($C$54:$C$113,C85)&lt;&gt;1,COUNTIFS(Plan!$C$9:$C$38,D85)&lt;&gt;1),1,0))</f>
        <v>0</v>
      </c>
      <c r="G85" s="3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</row>
    <row r="86" spans="1:19" ht="24" customHeight="1">
      <c r="A86" s="7"/>
      <c r="B86" s="7"/>
      <c r="C86" s="3"/>
      <c r="D86" s="3"/>
      <c r="E86" s="3"/>
      <c r="F86" s="13">
        <f>IF(C86="",0,IF(OR(COUNTIFS($C$54:$C$113,C86)&lt;&gt;1,COUNTIFS(Plan!$C$9:$C$38,D86)&lt;&gt;1),1,0))</f>
        <v>0</v>
      </c>
      <c r="G86" s="3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</row>
    <row r="87" spans="1:19" ht="24" customHeight="1">
      <c r="A87" s="7"/>
      <c r="B87" s="7"/>
      <c r="C87" s="3"/>
      <c r="D87" s="3"/>
      <c r="E87" s="3"/>
      <c r="F87" s="13">
        <f>IF(C87="",0,IF(OR(COUNTIFS($C$54:$C$113,C87)&lt;&gt;1,COUNTIFS(Plan!$C$9:$C$38,D87)&lt;&gt;1),1,0))</f>
        <v>0</v>
      </c>
      <c r="G87" s="3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</row>
    <row r="88" spans="1:19" ht="24" customHeight="1">
      <c r="A88" s="7"/>
      <c r="B88" s="7"/>
      <c r="C88" s="3"/>
      <c r="D88" s="3"/>
      <c r="E88" s="3"/>
      <c r="F88" s="13">
        <f>IF(C88="",0,IF(OR(COUNTIFS($C$54:$C$113,C88)&lt;&gt;1,COUNTIFS(Plan!$C$9:$C$38,D88)&lt;&gt;1),1,0))</f>
        <v>0</v>
      </c>
      <c r="G88" s="3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</row>
    <row r="89" spans="1:19" ht="24" customHeight="1">
      <c r="A89" s="7"/>
      <c r="B89" s="7"/>
      <c r="C89" s="3"/>
      <c r="D89" s="3"/>
      <c r="E89" s="3"/>
      <c r="F89" s="13">
        <f>IF(C89="",0,IF(OR(COUNTIFS($C$54:$C$113,C89)&lt;&gt;1,COUNTIFS(Plan!$C$9:$C$38,D89)&lt;&gt;1),1,0))</f>
        <v>0</v>
      </c>
      <c r="G89" s="3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</row>
    <row r="90" spans="1:19" ht="24" customHeight="1">
      <c r="A90" s="7"/>
      <c r="B90" s="7"/>
      <c r="C90" s="3"/>
      <c r="D90" s="3"/>
      <c r="E90" s="3"/>
      <c r="F90" s="13">
        <f>IF(C90="",0,IF(OR(COUNTIFS($C$54:$C$113,C90)&lt;&gt;1,COUNTIFS(Plan!$C$9:$C$38,D90)&lt;&gt;1),1,0))</f>
        <v>0</v>
      </c>
      <c r="G90" s="3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</row>
    <row r="91" spans="1:19" ht="24" customHeight="1">
      <c r="A91" s="7"/>
      <c r="B91" s="7"/>
      <c r="C91" s="3"/>
      <c r="D91" s="3"/>
      <c r="E91" s="3"/>
      <c r="F91" s="13">
        <f>IF(C91="",0,IF(OR(COUNTIFS($C$54:$C$113,C91)&lt;&gt;1,COUNTIFS(Plan!$C$9:$C$38,D91)&lt;&gt;1),1,0))</f>
        <v>0</v>
      </c>
      <c r="G91" s="3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</row>
    <row r="92" spans="1:19" ht="24" customHeight="1">
      <c r="A92" s="7"/>
      <c r="B92" s="7"/>
      <c r="C92" s="3"/>
      <c r="D92" s="3"/>
      <c r="E92" s="3"/>
      <c r="F92" s="13">
        <f>IF(C92="",0,IF(OR(COUNTIFS($C$54:$C$113,C92)&lt;&gt;1,COUNTIFS(Plan!$C$9:$C$38,D92)&lt;&gt;1),1,0))</f>
        <v>0</v>
      </c>
      <c r="G92" s="3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</row>
    <row r="93" spans="1:19" ht="24" customHeight="1">
      <c r="A93" s="7"/>
      <c r="B93" s="7"/>
      <c r="C93" s="3"/>
      <c r="D93" s="3"/>
      <c r="E93" s="3"/>
      <c r="F93" s="13">
        <f>IF(C93="",0,IF(OR(COUNTIFS($C$54:$C$113,C93)&lt;&gt;1,COUNTIFS(Plan!$C$9:$C$38,D93)&lt;&gt;1),1,0))</f>
        <v>0</v>
      </c>
      <c r="G93" s="3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</row>
    <row r="94" spans="1:19" ht="24" customHeight="1">
      <c r="A94" s="7"/>
      <c r="B94" s="7"/>
      <c r="C94" s="3"/>
      <c r="D94" s="3"/>
      <c r="E94" s="3"/>
      <c r="F94" s="13">
        <f>IF(C94="",0,IF(OR(COUNTIFS($C$54:$C$113,C94)&lt;&gt;1,COUNTIFS(Plan!$C$9:$C$38,D94)&lt;&gt;1),1,0))</f>
        <v>0</v>
      </c>
      <c r="G94" s="3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</row>
    <row r="95" spans="1:19" ht="24" customHeight="1">
      <c r="A95" s="7"/>
      <c r="B95" s="7"/>
      <c r="C95" s="3"/>
      <c r="D95" s="3"/>
      <c r="E95" s="3"/>
      <c r="F95" s="13">
        <f>IF(C95="",0,IF(OR(COUNTIFS($C$54:$C$113,C95)&lt;&gt;1,COUNTIFS(Plan!$C$9:$C$38,D95)&lt;&gt;1),1,0))</f>
        <v>0</v>
      </c>
      <c r="G95" s="3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</row>
    <row r="96" spans="1:19" ht="24" customHeight="1">
      <c r="A96" s="7"/>
      <c r="B96" s="7"/>
      <c r="C96" s="3"/>
      <c r="D96" s="3"/>
      <c r="E96" s="3"/>
      <c r="F96" s="13">
        <f>IF(C96="",0,IF(OR(COUNTIFS($C$54:$C$113,C96)&lt;&gt;1,COUNTIFS(Plan!$C$9:$C$38,D96)&lt;&gt;1),1,0))</f>
        <v>0</v>
      </c>
      <c r="G96" s="3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</row>
    <row r="97" spans="1:19" ht="24" customHeight="1">
      <c r="A97" s="7"/>
      <c r="B97" s="7"/>
      <c r="C97" s="3"/>
      <c r="D97" s="3"/>
      <c r="E97" s="3"/>
      <c r="F97" s="13">
        <f>IF(C97="",0,IF(OR(COUNTIFS($C$54:$C$113,C97)&lt;&gt;1,COUNTIFS(Plan!$C$9:$C$38,D97)&lt;&gt;1),1,0))</f>
        <v>0</v>
      </c>
      <c r="G97" s="3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</row>
    <row r="98" spans="1:19" ht="24" customHeight="1">
      <c r="A98" s="7"/>
      <c r="B98" s="7"/>
      <c r="C98" s="3"/>
      <c r="D98" s="3"/>
      <c r="E98" s="3"/>
      <c r="F98" s="13">
        <f>IF(C98="",0,IF(OR(COUNTIFS($C$54:$C$113,C98)&lt;&gt;1,COUNTIFS(Plan!$C$9:$C$38,D98)&lt;&gt;1),1,0))</f>
        <v>0</v>
      </c>
      <c r="G98" s="3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</row>
    <row r="99" spans="1:19" ht="24" customHeight="1">
      <c r="A99" s="7"/>
      <c r="B99" s="7"/>
      <c r="C99" s="3"/>
      <c r="D99" s="3"/>
      <c r="E99" s="3"/>
      <c r="F99" s="13">
        <f>IF(C99="",0,IF(OR(COUNTIFS($C$54:$C$113,C99)&lt;&gt;1,COUNTIFS(Plan!$C$9:$C$38,D99)&lt;&gt;1),1,0))</f>
        <v>0</v>
      </c>
      <c r="G99" s="3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</row>
    <row r="100" spans="1:19" ht="24" customHeight="1">
      <c r="A100" s="7"/>
      <c r="B100" s="7"/>
      <c r="C100" s="3"/>
      <c r="D100" s="3"/>
      <c r="E100" s="3"/>
      <c r="F100" s="13">
        <f>IF(C100="",0,IF(OR(COUNTIFS($C$54:$C$113,C100)&lt;&gt;1,COUNTIFS(Plan!$C$9:$C$38,D100)&lt;&gt;1),1,0))</f>
        <v>0</v>
      </c>
      <c r="G100" s="3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</row>
    <row r="101" spans="1:19" ht="24" customHeight="1">
      <c r="A101" s="7"/>
      <c r="B101" s="7"/>
      <c r="C101" s="3"/>
      <c r="D101" s="3"/>
      <c r="E101" s="3"/>
      <c r="F101" s="13">
        <f>IF(C101="",0,IF(OR(COUNTIFS($C$54:$C$113,C101)&lt;&gt;1,COUNTIFS(Plan!$C$9:$C$38,D101)&lt;&gt;1),1,0))</f>
        <v>0</v>
      </c>
      <c r="G101" s="3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</row>
    <row r="102" spans="1:19" ht="24" customHeight="1">
      <c r="A102" s="7"/>
      <c r="B102" s="7"/>
      <c r="C102" s="3"/>
      <c r="D102" s="3"/>
      <c r="E102" s="3"/>
      <c r="F102" s="13">
        <f>IF(C102="",0,IF(OR(COUNTIFS($C$54:$C$113,C102)&lt;&gt;1,COUNTIFS(Plan!$C$9:$C$38,D102)&lt;&gt;1),1,0))</f>
        <v>0</v>
      </c>
      <c r="G102" s="3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</row>
    <row r="103" spans="1:19" ht="24" customHeight="1">
      <c r="A103" s="7"/>
      <c r="B103" s="7"/>
      <c r="C103" s="3"/>
      <c r="D103" s="3"/>
      <c r="E103" s="3"/>
      <c r="F103" s="13">
        <f>IF(C103="",0,IF(OR(COUNTIFS($C$54:$C$113,C103)&lt;&gt;1,COUNTIFS(Plan!$C$9:$C$38,D103)&lt;&gt;1),1,0))</f>
        <v>0</v>
      </c>
      <c r="G103" s="3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</row>
    <row r="104" spans="1:19" ht="24" customHeight="1">
      <c r="A104" s="7"/>
      <c r="B104" s="7"/>
      <c r="C104" s="3"/>
      <c r="D104" s="3"/>
      <c r="E104" s="3"/>
      <c r="F104" s="13">
        <f>IF(C104="",0,IF(OR(COUNTIFS($C$54:$C$113,C104)&lt;&gt;1,COUNTIFS(Plan!$C$9:$C$38,D104)&lt;&gt;1),1,0))</f>
        <v>0</v>
      </c>
      <c r="G104" s="3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</row>
    <row r="105" spans="1:19" ht="24" customHeight="1">
      <c r="A105" s="7"/>
      <c r="B105" s="7"/>
      <c r="C105" s="3"/>
      <c r="D105" s="3"/>
      <c r="E105" s="3"/>
      <c r="F105" s="13">
        <f>IF(C105="",0,IF(OR(COUNTIFS($C$54:$C$113,C105)&lt;&gt;1,COUNTIFS(Plan!$C$9:$C$38,D105)&lt;&gt;1),1,0))</f>
        <v>0</v>
      </c>
      <c r="G105" s="3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</row>
    <row r="106" spans="1:19" ht="24" customHeight="1">
      <c r="A106" s="7"/>
      <c r="B106" s="7"/>
      <c r="C106" s="3"/>
      <c r="D106" s="3"/>
      <c r="E106" s="3"/>
      <c r="F106" s="13">
        <f>IF(C106="",0,IF(OR(COUNTIFS($C$54:$C$113,C106)&lt;&gt;1,COUNTIFS(Plan!$C$9:$C$38,D106)&lt;&gt;1),1,0))</f>
        <v>0</v>
      </c>
      <c r="G106" s="3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</row>
    <row r="107" spans="1:19" ht="24" customHeight="1">
      <c r="A107" s="7"/>
      <c r="B107" s="7"/>
      <c r="C107" s="3"/>
      <c r="D107" s="3"/>
      <c r="E107" s="3"/>
      <c r="F107" s="13">
        <f>IF(C107="",0,IF(OR(COUNTIFS($C$54:$C$113,C107)&lt;&gt;1,COUNTIFS(Plan!$C$9:$C$38,D107)&lt;&gt;1),1,0))</f>
        <v>0</v>
      </c>
      <c r="G107" s="3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</row>
    <row r="108" spans="1:19" ht="24" customHeight="1">
      <c r="A108" s="7"/>
      <c r="B108" s="7"/>
      <c r="C108" s="3"/>
      <c r="D108" s="3"/>
      <c r="E108" s="3"/>
      <c r="F108" s="13">
        <f>IF(C108="",0,IF(OR(COUNTIFS($C$54:$C$113,C108)&lt;&gt;1,COUNTIFS(Plan!$C$9:$C$38,D108)&lt;&gt;1),1,0))</f>
        <v>0</v>
      </c>
      <c r="G108" s="3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</row>
    <row r="109" spans="1:19" ht="24" customHeight="1">
      <c r="A109" s="7"/>
      <c r="B109" s="7"/>
      <c r="C109" s="3"/>
      <c r="D109" s="3"/>
      <c r="E109" s="3"/>
      <c r="F109" s="13">
        <f>IF(C109="",0,IF(OR(COUNTIFS($C$54:$C$113,C109)&lt;&gt;1,COUNTIFS(Plan!$C$9:$C$38,D109)&lt;&gt;1),1,0))</f>
        <v>0</v>
      </c>
      <c r="G109" s="3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</row>
    <row r="110" spans="1:19" ht="24" customHeight="1">
      <c r="A110" s="7"/>
      <c r="B110" s="7"/>
      <c r="C110" s="3"/>
      <c r="D110" s="3"/>
      <c r="E110" s="3"/>
      <c r="F110" s="13">
        <f>IF(C110="",0,IF(OR(COUNTIFS($C$54:$C$113,C110)&lt;&gt;1,COUNTIFS(Plan!$C$9:$C$38,D110)&lt;&gt;1),1,0))</f>
        <v>0</v>
      </c>
      <c r="G110" s="3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</row>
    <row r="111" spans="1:19" ht="24" customHeight="1">
      <c r="A111" s="7"/>
      <c r="B111" s="7"/>
      <c r="C111" s="3"/>
      <c r="D111" s="3"/>
      <c r="E111" s="3"/>
      <c r="F111" s="13">
        <f>IF(C111="",0,IF(OR(COUNTIFS($C$54:$C$113,C111)&lt;&gt;1,COUNTIFS(Plan!$C$9:$C$38,D111)&lt;&gt;1),1,0))</f>
        <v>0</v>
      </c>
      <c r="G111" s="3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</row>
    <row r="112" spans="1:19" ht="24" customHeight="1">
      <c r="A112" s="7"/>
      <c r="B112" s="7"/>
      <c r="C112" s="3"/>
      <c r="D112" s="3"/>
      <c r="E112" s="3"/>
      <c r="F112" s="13">
        <f>IF(C112="",0,IF(OR(COUNTIFS($C$54:$C$113,C112)&lt;&gt;1,COUNTIFS(Plan!$C$9:$C$38,D112)&lt;&gt;1),1,0))</f>
        <v>0</v>
      </c>
      <c r="G112" s="3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</row>
    <row r="113" spans="1:19" ht="24" customHeight="1">
      <c r="A113" s="7"/>
      <c r="B113" s="7"/>
      <c r="C113" s="3"/>
      <c r="D113" s="3"/>
      <c r="E113" s="3"/>
      <c r="F113" s="13">
        <f>IF(C113="",0,IF(OR(COUNTIFS($C$54:$C$113,C113)&lt;&gt;1,COUNTIFS(Plan!$C$9:$C$38,D113)&lt;&gt;1),1,0))</f>
        <v>0</v>
      </c>
      <c r="G113" s="3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</row>
    <row r="114" spans="1:19" ht="24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</row>
    <row r="115" spans="1:19" ht="24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</row>
    <row r="116" spans="1:19" ht="24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</row>
    <row r="117" spans="1:19" ht="24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</row>
    <row r="118" spans="1:19" ht="24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</row>
    <row r="119" spans="1:19" ht="24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</row>
    <row r="120" spans="1:19" ht="24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</row>
  </sheetData>
  <sheetProtection sheet="1" objects="1" scenarios="1" autoFilter="0"/>
  <mergeCells count="25">
    <mergeCell ref="C2:S2"/>
    <mergeCell ref="C3:S3"/>
    <mergeCell ref="D4:G4"/>
    <mergeCell ref="C5:F5"/>
    <mergeCell ref="C6:F6"/>
    <mergeCell ref="C12:F12"/>
    <mergeCell ref="C13:F13"/>
    <mergeCell ref="C14:F14"/>
    <mergeCell ref="C15:F15"/>
    <mergeCell ref="H5:S6"/>
    <mergeCell ref="H8:S9"/>
    <mergeCell ref="C7:F7"/>
    <mergeCell ref="C8:F8"/>
    <mergeCell ref="C9:F9"/>
    <mergeCell ref="C10:F10"/>
    <mergeCell ref="C11:F11"/>
    <mergeCell ref="C25:G25"/>
    <mergeCell ref="C26:G26"/>
    <mergeCell ref="C27:G27"/>
    <mergeCell ref="C29:F29"/>
    <mergeCell ref="C18:G18"/>
    <mergeCell ref="C19:G19"/>
    <mergeCell ref="C20:G20"/>
    <mergeCell ref="C21:G21"/>
    <mergeCell ref="C24:G24"/>
  </mergeCells>
  <conditionalFormatting sqref="F54:F113">
    <cfRule type="cellIs" dxfId="18" priority="2" operator="greaterThan">
      <formula>0</formula>
    </cfRule>
  </conditionalFormatting>
  <conditionalFormatting sqref="L35:L46">
    <cfRule type="cellIs" dxfId="17" priority="1" operator="greaterThan">
      <formula>0</formula>
    </cfRule>
  </conditionalFormatting>
  <dataValidations count="4">
    <dataValidation type="whole" sqref="G6" xr:uid="{00000000-0002-0000-0100-000000000000}">
      <formula1>2000</formula1>
      <formula2>2100</formula2>
    </dataValidation>
    <dataValidation type="whole" sqref="G7" xr:uid="{00000000-0002-0000-0100-000001000000}">
      <formula1>0</formula1>
      <formula2>12</formula2>
    </dataValidation>
    <dataValidation type="whole" sqref="G8" xr:uid="{00000000-0002-0000-0100-000002000000}">
      <formula1>1</formula1>
      <formula2>3</formula2>
    </dataValidation>
    <dataValidation type="whole" sqref="G11" xr:uid="{00000000-0002-0000-0100-000003000000}">
      <formula1>0</formula1>
      <formula2>365</formula2>
    </dataValidation>
  </dataValidation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371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30" style="8" customWidth="1"/>
    <col min="5" max="5" width="13" style="8" customWidth="1"/>
    <col min="6" max="9" width="19" style="8" customWidth="1"/>
    <col min="10" max="10" width="17" style="8" customWidth="1"/>
    <col min="11" max="13" width="21" style="8" customWidth="1"/>
    <col min="14" max="16" width="14" style="8" customWidth="1"/>
    <col min="17" max="16384" width="9" style="8"/>
  </cols>
  <sheetData>
    <row r="1" spans="1:16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ht="24" customHeight="1">
      <c r="A2" s="7"/>
      <c r="B2" s="7"/>
      <c r="C2" s="26" t="s">
        <v>151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24" customHeight="1">
      <c r="A3" s="7"/>
      <c r="B3" s="7"/>
      <c r="C3" s="27" t="s">
        <v>51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ht="24" customHeight="1">
      <c r="A4" s="7"/>
      <c r="B4" s="7"/>
      <c r="C4" s="7" t="s">
        <v>52</v>
      </c>
      <c r="D4" s="28" t="str">
        <f>Parametry!$G$9</f>
        <v>Bazowy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</row>
    <row r="5" spans="1:16" ht="24" customHeight="1">
      <c r="A5" s="7"/>
      <c r="B5" s="7"/>
      <c r="C5" s="7" t="s">
        <v>152</v>
      </c>
      <c r="D5" s="7"/>
      <c r="E5" s="13">
        <f>IF(AND(ISNUMBER(Parametry!$G$10),Parametry!$G$9&lt;&gt;""),1,0)</f>
        <v>1</v>
      </c>
      <c r="F5" s="7"/>
      <c r="G5" s="7" t="s">
        <v>153</v>
      </c>
      <c r="H5" s="7"/>
      <c r="I5" s="13">
        <f>SUM(Plan!$X$9:$X$38,ERP!$O$9:$O$1008,Umowy!$P$9:$P$108,Prognoza!$F$9:$F$38,Parametry!$L$35:$L$46,Parametry!$F$54:$F$113)</f>
        <v>0</v>
      </c>
      <c r="J5" s="7"/>
      <c r="K5" s="7" t="s">
        <v>154</v>
      </c>
      <c r="L5" s="7"/>
      <c r="M5" s="7">
        <f>SUM(N9:N368)</f>
        <v>0</v>
      </c>
      <c r="N5" s="7"/>
      <c r="O5" s="7"/>
      <c r="P5" s="7"/>
    </row>
    <row r="6" spans="1:16" ht="24" customHeight="1">
      <c r="A6" s="7"/>
      <c r="B6" s="7"/>
      <c r="C6" s="7" t="s">
        <v>155</v>
      </c>
      <c r="D6" s="7"/>
      <c r="E6" s="13">
        <f>IF(AND(E5=1,COUNTA(Plan!$C$9:$C$38)&gt;0,I5=0,M5=0),1,0)</f>
        <v>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1:16" ht="38.1" customHeight="1">
      <c r="A8" s="7"/>
      <c r="B8" s="7"/>
      <c r="C8" s="21" t="s">
        <v>80</v>
      </c>
      <c r="D8" s="21" t="s">
        <v>156</v>
      </c>
      <c r="E8" s="21" t="s">
        <v>8</v>
      </c>
      <c r="F8" s="21" t="s">
        <v>157</v>
      </c>
      <c r="G8" s="21" t="s">
        <v>158</v>
      </c>
      <c r="H8" s="21" t="s">
        <v>159</v>
      </c>
      <c r="I8" s="21" t="s">
        <v>160</v>
      </c>
      <c r="J8" s="21" t="s">
        <v>161</v>
      </c>
      <c r="K8" s="21" t="s">
        <v>162</v>
      </c>
      <c r="L8" s="21" t="s">
        <v>10</v>
      </c>
      <c r="M8" s="21" t="s">
        <v>163</v>
      </c>
      <c r="N8" s="21" t="s">
        <v>164</v>
      </c>
      <c r="O8" s="7"/>
      <c r="P8" s="7"/>
    </row>
    <row r="9" spans="1:16" ht="24" customHeight="1">
      <c r="A9" s="7"/>
      <c r="B9" s="7"/>
      <c r="C9" s="13" t="str">
        <f>IF(Plan!C9="","",Plan!C9)</f>
        <v>IT01</v>
      </c>
      <c r="D9" s="13" t="str">
        <f>IF(C9="","",Plan!D9)</f>
        <v>Licencje stanowiskowe</v>
      </c>
      <c r="E9" s="33">
        <f>IF(OR(C9="",Parametry!$G$6=""),"",DATE(Parametry!$G$6,1,1))</f>
        <v>46388</v>
      </c>
      <c r="F9" s="34">
        <f>IF(C9="","",Plan!K9)</f>
        <v>18000</v>
      </c>
      <c r="G9" s="34">
        <f>IF(C9="","",SUMIFS(ERP!$I$9:$I$1008,ERP!$L$9:$L$1008,C9,ERP!$N$9:$N$1008,1,ERP!$M$9:$M$1008,1))</f>
        <v>18000</v>
      </c>
      <c r="H9" s="34">
        <f>IF(C9="","",IF(1&lt;=Parametry!$G$7,0,SUMIFS(Umowy!$N$9:$N$108,Umowy!$D$9:$D$108,C9,Umowy!$O$9:$O$108,1)))</f>
        <v>0</v>
      </c>
      <c r="I9" s="34">
        <f>IF(C9="","",IF(1&lt;=Parametry!$G$7,0,IF(COUNTIFS(Prognoza!$C$9:$C$38,C9)=1,IF(ISBLANK(INDEX(Prognoza!$K$9:$V$38,MATCH($C9,Prognoza!$C$9:$C$38,0),1)),"",IF(ISNUMBER(INDEX(Prognoza!$K$9:$V$38,MATCH($C9,Prognoza!$C$9:$C$38,0),1)),INDEX(Prognoza!$K$9:$V$38,MATCH($C9,Prognoza!$C$9:$C$38,0),1),"")),"")))</f>
        <v>0</v>
      </c>
      <c r="J9" s="35">
        <f>IF(C9="","",IF(Plan!F9="Run",IF(ISNUMBER(INDEX(Parametry!$H$18:$S$18,1,1)),INDEX(Parametry!$H$18:$S$18,1,1),""),IF(ISNUMBER(INDEX(Parametry!$H$24:$S$24,1,1)),INDEX(Parametry!$H$24:$S$24,1,1),"")))</f>
        <v>0</v>
      </c>
      <c r="K9" s="34">
        <f>IF(C9="","",IF(1&lt;=Parametry!$G$7,0,IF(AND(ISNUMBER(I9),ISNUMBER(J9),J9&gt;=-1),I9*(1+J9),"")))</f>
        <v>0</v>
      </c>
      <c r="L9" s="34">
        <f>IF(C9="","",IF(1&lt;=Parametry!$G$7,G9,IF(ISNUMBER(K9),H9+K9,"")))</f>
        <v>18000</v>
      </c>
      <c r="M9" s="22">
        <f t="shared" ref="M9:M72" si="0">IF(AND(C9&lt;&gt;"",ISNUMBER(L9)),L9-F9,"")</f>
        <v>0</v>
      </c>
      <c r="N9" s="7">
        <f t="shared" ref="N9:N72" si="1">IF(C9="",0,IF(ISNUMBER(L9),0,1))</f>
        <v>0</v>
      </c>
      <c r="O9" s="7"/>
      <c r="P9" s="7"/>
    </row>
    <row r="10" spans="1:16" ht="24" customHeight="1">
      <c r="A10" s="7"/>
      <c r="B10" s="7"/>
      <c r="C10" s="13" t="str">
        <f>IF(Plan!C9="","",Plan!C9)</f>
        <v>IT01</v>
      </c>
      <c r="D10" s="13" t="str">
        <f>IF(C10="","",Plan!D9)</f>
        <v>Licencje stanowiskowe</v>
      </c>
      <c r="E10" s="33">
        <f>IF(OR(C10="",Parametry!$G$6=""),"",DATE(Parametry!$G$6,2,1))</f>
        <v>46419</v>
      </c>
      <c r="F10" s="34">
        <f>IF(C10="","",Plan!L9)</f>
        <v>18000</v>
      </c>
      <c r="G10" s="34">
        <f>IF(C10="","",SUMIFS(ERP!$I$9:$I$1008,ERP!$L$9:$L$1008,C10,ERP!$N$9:$N$1008,1,ERP!$M$9:$M$1008,2))</f>
        <v>18000</v>
      </c>
      <c r="H10" s="34">
        <f>IF(C10="","",IF(2&lt;=Parametry!$G$7,0,SUMIFS(Umowy!$N$9:$N$108,Umowy!$D$9:$D$108,C10,Umowy!$O$9:$O$108,2)))</f>
        <v>0</v>
      </c>
      <c r="I10" s="34">
        <f>IF(C10="","",IF(2&lt;=Parametry!$G$7,0,IF(COUNTIFS(Prognoza!$C$9:$C$38,C10)=1,IF(ISBLANK(INDEX(Prognoza!$K$9:$V$38,MATCH($C10,Prognoza!$C$9:$C$38,0),2)),"",IF(ISNUMBER(INDEX(Prognoza!$K$9:$V$38,MATCH($C10,Prognoza!$C$9:$C$38,0),2)),INDEX(Prognoza!$K$9:$V$38,MATCH($C10,Prognoza!$C$9:$C$38,0),2),"")),"")))</f>
        <v>0</v>
      </c>
      <c r="J10" s="35">
        <f>IF(C10="","",IF(Plan!F9="Run",IF(ISNUMBER(INDEX(Parametry!$H$18:$S$18,1,2)),INDEX(Parametry!$H$18:$S$18,1,2),""),IF(ISNUMBER(INDEX(Parametry!$H$24:$S$24,1,2)),INDEX(Parametry!$H$24:$S$24,1,2),"")))</f>
        <v>0</v>
      </c>
      <c r="K10" s="34">
        <f>IF(C10="","",IF(2&lt;=Parametry!$G$7,0,IF(AND(ISNUMBER(I10),ISNUMBER(J10),J10&gt;=-1),I10*(1+J10),"")))</f>
        <v>0</v>
      </c>
      <c r="L10" s="34">
        <f>IF(C10="","",IF(2&lt;=Parametry!$G$7,G10,IF(ISNUMBER(K10),H10+K10,"")))</f>
        <v>18000</v>
      </c>
      <c r="M10" s="22">
        <f t="shared" si="0"/>
        <v>0</v>
      </c>
      <c r="N10" s="7">
        <f t="shared" si="1"/>
        <v>0</v>
      </c>
      <c r="O10" s="7"/>
      <c r="P10" s="7"/>
    </row>
    <row r="11" spans="1:16" ht="24" customHeight="1">
      <c r="A11" s="7"/>
      <c r="B11" s="7"/>
      <c r="C11" s="13" t="str">
        <f>IF(Plan!C9="","",Plan!C9)</f>
        <v>IT01</v>
      </c>
      <c r="D11" s="13" t="str">
        <f>IF(C11="","",Plan!D9)</f>
        <v>Licencje stanowiskowe</v>
      </c>
      <c r="E11" s="33">
        <f>IF(OR(C11="",Parametry!$G$6=""),"",DATE(Parametry!$G$6,3,1))</f>
        <v>46447</v>
      </c>
      <c r="F11" s="34">
        <f>IF(C11="","",Plan!M9)</f>
        <v>18000</v>
      </c>
      <c r="G11" s="34">
        <f>IF(C11="","",SUMIFS(ERP!$I$9:$I$1008,ERP!$L$9:$L$1008,C11,ERP!$N$9:$N$1008,1,ERP!$M$9:$M$1008,3))</f>
        <v>18000</v>
      </c>
      <c r="H11" s="34">
        <f>IF(C11="","",IF(3&lt;=Parametry!$G$7,0,SUMIFS(Umowy!$N$9:$N$108,Umowy!$D$9:$D$108,C11,Umowy!$O$9:$O$108,3)))</f>
        <v>0</v>
      </c>
      <c r="I11" s="34">
        <f>IF(C11="","",IF(3&lt;=Parametry!$G$7,0,IF(COUNTIFS(Prognoza!$C$9:$C$38,C11)=1,IF(ISBLANK(INDEX(Prognoza!$K$9:$V$38,MATCH($C11,Prognoza!$C$9:$C$38,0),3)),"",IF(ISNUMBER(INDEX(Prognoza!$K$9:$V$38,MATCH($C11,Prognoza!$C$9:$C$38,0),3)),INDEX(Prognoza!$K$9:$V$38,MATCH($C11,Prognoza!$C$9:$C$38,0),3),"")),"")))</f>
        <v>0</v>
      </c>
      <c r="J11" s="35">
        <f>IF(C11="","",IF(Plan!F9="Run",IF(ISNUMBER(INDEX(Parametry!$H$18:$S$18,1,3)),INDEX(Parametry!$H$18:$S$18,1,3),""),IF(ISNUMBER(INDEX(Parametry!$H$24:$S$24,1,3)),INDEX(Parametry!$H$24:$S$24,1,3),"")))</f>
        <v>0</v>
      </c>
      <c r="K11" s="34">
        <f>IF(C11="","",IF(3&lt;=Parametry!$G$7,0,IF(AND(ISNUMBER(I11),ISNUMBER(J11),J11&gt;=-1),I11*(1+J11),"")))</f>
        <v>0</v>
      </c>
      <c r="L11" s="34">
        <f>IF(C11="","",IF(3&lt;=Parametry!$G$7,G11,IF(ISNUMBER(K11),H11+K11,"")))</f>
        <v>18000</v>
      </c>
      <c r="M11" s="22">
        <f t="shared" si="0"/>
        <v>0</v>
      </c>
      <c r="N11" s="7">
        <f t="shared" si="1"/>
        <v>0</v>
      </c>
      <c r="O11" s="7"/>
      <c r="P11" s="7"/>
    </row>
    <row r="12" spans="1:16" ht="24" customHeight="1">
      <c r="A12" s="7"/>
      <c r="B12" s="7"/>
      <c r="C12" s="13" t="str">
        <f>IF(Plan!C9="","",Plan!C9)</f>
        <v>IT01</v>
      </c>
      <c r="D12" s="13" t="str">
        <f>IF(C12="","",Plan!D9)</f>
        <v>Licencje stanowiskowe</v>
      </c>
      <c r="E12" s="33">
        <f>IF(OR(C12="",Parametry!$G$6=""),"",DATE(Parametry!$G$6,4,1))</f>
        <v>46478</v>
      </c>
      <c r="F12" s="34">
        <f>IF(C12="","",Plan!N9)</f>
        <v>18000</v>
      </c>
      <c r="G12" s="34">
        <f>IF(C12="","",SUMIFS(ERP!$I$9:$I$1008,ERP!$L$9:$L$1008,C12,ERP!$N$9:$N$1008,1,ERP!$M$9:$M$1008,4))</f>
        <v>18000</v>
      </c>
      <c r="H12" s="34">
        <f>IF(C12="","",IF(4&lt;=Parametry!$G$7,0,SUMIFS(Umowy!$N$9:$N$108,Umowy!$D$9:$D$108,C12,Umowy!$O$9:$O$108,4)))</f>
        <v>0</v>
      </c>
      <c r="I12" s="34">
        <f>IF(C12="","",IF(4&lt;=Parametry!$G$7,0,IF(COUNTIFS(Prognoza!$C$9:$C$38,C12)=1,IF(ISBLANK(INDEX(Prognoza!$K$9:$V$38,MATCH($C12,Prognoza!$C$9:$C$38,0),4)),"",IF(ISNUMBER(INDEX(Prognoza!$K$9:$V$38,MATCH($C12,Prognoza!$C$9:$C$38,0),4)),INDEX(Prognoza!$K$9:$V$38,MATCH($C12,Prognoza!$C$9:$C$38,0),4),"")),"")))</f>
        <v>0</v>
      </c>
      <c r="J12" s="35">
        <f>IF(C12="","",IF(Plan!F9="Run",IF(ISNUMBER(INDEX(Parametry!$H$18:$S$18,1,4)),INDEX(Parametry!$H$18:$S$18,1,4),""),IF(ISNUMBER(INDEX(Parametry!$H$24:$S$24,1,4)),INDEX(Parametry!$H$24:$S$24,1,4),"")))</f>
        <v>0</v>
      </c>
      <c r="K12" s="34">
        <f>IF(C12="","",IF(4&lt;=Parametry!$G$7,0,IF(AND(ISNUMBER(I12),ISNUMBER(J12),J12&gt;=-1),I12*(1+J12),"")))</f>
        <v>0</v>
      </c>
      <c r="L12" s="34">
        <f>IF(C12="","",IF(4&lt;=Parametry!$G$7,G12,IF(ISNUMBER(K12),H12+K12,"")))</f>
        <v>18000</v>
      </c>
      <c r="M12" s="22">
        <f t="shared" si="0"/>
        <v>0</v>
      </c>
      <c r="N12" s="7">
        <f t="shared" si="1"/>
        <v>0</v>
      </c>
      <c r="O12" s="7"/>
      <c r="P12" s="7"/>
    </row>
    <row r="13" spans="1:16" ht="24" customHeight="1">
      <c r="A13" s="7"/>
      <c r="B13" s="7"/>
      <c r="C13" s="13" t="str">
        <f>IF(Plan!C9="","",Plan!C9)</f>
        <v>IT01</v>
      </c>
      <c r="D13" s="13" t="str">
        <f>IF(C13="","",Plan!D9)</f>
        <v>Licencje stanowiskowe</v>
      </c>
      <c r="E13" s="33">
        <f>IF(OR(C13="",Parametry!$G$6=""),"",DATE(Parametry!$G$6,5,1))</f>
        <v>46508</v>
      </c>
      <c r="F13" s="34">
        <f>IF(C13="","",Plan!O9)</f>
        <v>18000</v>
      </c>
      <c r="G13" s="34">
        <f>IF(C13="","",SUMIFS(ERP!$I$9:$I$1008,ERP!$L$9:$L$1008,C13,ERP!$N$9:$N$1008,1,ERP!$M$9:$M$1008,5))</f>
        <v>18000</v>
      </c>
      <c r="H13" s="34">
        <f>IF(C13="","",IF(5&lt;=Parametry!$G$7,0,SUMIFS(Umowy!$N$9:$N$108,Umowy!$D$9:$D$108,C13,Umowy!$O$9:$O$108,5)))</f>
        <v>0</v>
      </c>
      <c r="I13" s="34">
        <f>IF(C13="","",IF(5&lt;=Parametry!$G$7,0,IF(COUNTIFS(Prognoza!$C$9:$C$38,C13)=1,IF(ISBLANK(INDEX(Prognoza!$K$9:$V$38,MATCH($C13,Prognoza!$C$9:$C$38,0),5)),"",IF(ISNUMBER(INDEX(Prognoza!$K$9:$V$38,MATCH($C13,Prognoza!$C$9:$C$38,0),5)),INDEX(Prognoza!$K$9:$V$38,MATCH($C13,Prognoza!$C$9:$C$38,0),5),"")),"")))</f>
        <v>0</v>
      </c>
      <c r="J13" s="35">
        <f>IF(C13="","",IF(Plan!F9="Run",IF(ISNUMBER(INDEX(Parametry!$H$18:$S$18,1,5)),INDEX(Parametry!$H$18:$S$18,1,5),""),IF(ISNUMBER(INDEX(Parametry!$H$24:$S$24,1,5)),INDEX(Parametry!$H$24:$S$24,1,5),"")))</f>
        <v>0</v>
      </c>
      <c r="K13" s="34">
        <f>IF(C13="","",IF(5&lt;=Parametry!$G$7,0,IF(AND(ISNUMBER(I13),ISNUMBER(J13),J13&gt;=-1),I13*(1+J13),"")))</f>
        <v>0</v>
      </c>
      <c r="L13" s="34">
        <f>IF(C13="","",IF(5&lt;=Parametry!$G$7,G13,IF(ISNUMBER(K13),H13+K13,"")))</f>
        <v>18000</v>
      </c>
      <c r="M13" s="22">
        <f t="shared" si="0"/>
        <v>0</v>
      </c>
      <c r="N13" s="7">
        <f t="shared" si="1"/>
        <v>0</v>
      </c>
      <c r="O13" s="7"/>
      <c r="P13" s="7"/>
    </row>
    <row r="14" spans="1:16" ht="24" customHeight="1">
      <c r="A14" s="7"/>
      <c r="B14" s="7"/>
      <c r="C14" s="13" t="str">
        <f>IF(Plan!C9="","",Plan!C9)</f>
        <v>IT01</v>
      </c>
      <c r="D14" s="13" t="str">
        <f>IF(C14="","",Plan!D9)</f>
        <v>Licencje stanowiskowe</v>
      </c>
      <c r="E14" s="33">
        <f>IF(OR(C14="",Parametry!$G$6=""),"",DATE(Parametry!$G$6,6,1))</f>
        <v>46539</v>
      </c>
      <c r="F14" s="34">
        <f>IF(C14="","",Plan!P9)</f>
        <v>18000</v>
      </c>
      <c r="G14" s="34">
        <f>IF(C14="","",SUMIFS(ERP!$I$9:$I$1008,ERP!$L$9:$L$1008,C14,ERP!$N$9:$N$1008,1,ERP!$M$9:$M$1008,6))</f>
        <v>18000</v>
      </c>
      <c r="H14" s="34">
        <f>IF(C14="","",IF(6&lt;=Parametry!$G$7,0,SUMIFS(Umowy!$N$9:$N$108,Umowy!$D$9:$D$108,C14,Umowy!$O$9:$O$108,6)))</f>
        <v>0</v>
      </c>
      <c r="I14" s="34">
        <f>IF(C14="","",IF(6&lt;=Parametry!$G$7,0,IF(COUNTIFS(Prognoza!$C$9:$C$38,C14)=1,IF(ISBLANK(INDEX(Prognoza!$K$9:$V$38,MATCH($C14,Prognoza!$C$9:$C$38,0),6)),"",IF(ISNUMBER(INDEX(Prognoza!$K$9:$V$38,MATCH($C14,Prognoza!$C$9:$C$38,0),6)),INDEX(Prognoza!$K$9:$V$38,MATCH($C14,Prognoza!$C$9:$C$38,0),6),"")),"")))</f>
        <v>0</v>
      </c>
      <c r="J14" s="35">
        <f>IF(C14="","",IF(Plan!F9="Run",IF(ISNUMBER(INDEX(Parametry!$H$18:$S$18,1,6)),INDEX(Parametry!$H$18:$S$18,1,6),""),IF(ISNUMBER(INDEX(Parametry!$H$24:$S$24,1,6)),INDEX(Parametry!$H$24:$S$24,1,6),"")))</f>
        <v>0</v>
      </c>
      <c r="K14" s="34">
        <f>IF(C14="","",IF(6&lt;=Parametry!$G$7,0,IF(AND(ISNUMBER(I14),ISNUMBER(J14),J14&gt;=-1),I14*(1+J14),"")))</f>
        <v>0</v>
      </c>
      <c r="L14" s="34">
        <f>IF(C14="","",IF(6&lt;=Parametry!$G$7,G14,IF(ISNUMBER(K14),H14+K14,"")))</f>
        <v>18000</v>
      </c>
      <c r="M14" s="22">
        <f t="shared" si="0"/>
        <v>0</v>
      </c>
      <c r="N14" s="7">
        <f t="shared" si="1"/>
        <v>0</v>
      </c>
      <c r="O14" s="7"/>
      <c r="P14" s="7"/>
    </row>
    <row r="15" spans="1:16" ht="24" customHeight="1">
      <c r="A15" s="7"/>
      <c r="B15" s="7"/>
      <c r="C15" s="13" t="str">
        <f>IF(Plan!C9="","",Plan!C9)</f>
        <v>IT01</v>
      </c>
      <c r="D15" s="13" t="str">
        <f>IF(C15="","",Plan!D9)</f>
        <v>Licencje stanowiskowe</v>
      </c>
      <c r="E15" s="33">
        <f>IF(OR(C15="",Parametry!$G$6=""),"",DATE(Parametry!$G$6,7,1))</f>
        <v>46569</v>
      </c>
      <c r="F15" s="34">
        <f>IF(C15="","",Plan!Q9)</f>
        <v>18000</v>
      </c>
      <c r="G15" s="34">
        <f>IF(C15="","",SUMIFS(ERP!$I$9:$I$1008,ERP!$L$9:$L$1008,C15,ERP!$N$9:$N$1008,1,ERP!$M$9:$M$1008,7))</f>
        <v>0</v>
      </c>
      <c r="H15" s="34">
        <f>IF(C15="","",IF(7&lt;=Parametry!$G$7,0,SUMIFS(Umowy!$N$9:$N$108,Umowy!$D$9:$D$108,C15,Umowy!$O$9:$O$108,7)))</f>
        <v>18000</v>
      </c>
      <c r="I15" s="34">
        <f>IF(C15="","",IF(7&lt;=Parametry!$G$7,0,IF(COUNTIFS(Prognoza!$C$9:$C$38,C15)=1,IF(ISBLANK(INDEX(Prognoza!$K$9:$V$38,MATCH($C15,Prognoza!$C$9:$C$38,0),7)),"",IF(ISNUMBER(INDEX(Prognoza!$K$9:$V$38,MATCH($C15,Prognoza!$C$9:$C$38,0),7)),INDEX(Prognoza!$K$9:$V$38,MATCH($C15,Prognoza!$C$9:$C$38,0),7),"")),"")))</f>
        <v>0</v>
      </c>
      <c r="J15" s="35">
        <f>IF(C15="","",IF(Plan!F9="Run",IF(ISNUMBER(INDEX(Parametry!$H$18:$S$18,1,7)),INDEX(Parametry!$H$18:$S$18,1,7),""),IF(ISNUMBER(INDEX(Parametry!$H$24:$S$24,1,7)),INDEX(Parametry!$H$24:$S$24,1,7),"")))</f>
        <v>0</v>
      </c>
      <c r="K15" s="34">
        <f>IF(C15="","",IF(7&lt;=Parametry!$G$7,0,IF(AND(ISNUMBER(I15),ISNUMBER(J15),J15&gt;=-1),I15*(1+J15),"")))</f>
        <v>0</v>
      </c>
      <c r="L15" s="34">
        <f>IF(C15="","",IF(7&lt;=Parametry!$G$7,G15,IF(ISNUMBER(K15),H15+K15,"")))</f>
        <v>18000</v>
      </c>
      <c r="M15" s="22">
        <f t="shared" si="0"/>
        <v>0</v>
      </c>
      <c r="N15" s="7">
        <f t="shared" si="1"/>
        <v>0</v>
      </c>
      <c r="O15" s="7"/>
      <c r="P15" s="7"/>
    </row>
    <row r="16" spans="1:16" ht="24" customHeight="1">
      <c r="A16" s="7"/>
      <c r="B16" s="7"/>
      <c r="C16" s="13" t="str">
        <f>IF(Plan!C9="","",Plan!C9)</f>
        <v>IT01</v>
      </c>
      <c r="D16" s="13" t="str">
        <f>IF(C16="","",Plan!D9)</f>
        <v>Licencje stanowiskowe</v>
      </c>
      <c r="E16" s="33">
        <f>IF(OR(C16="",Parametry!$G$6=""),"",DATE(Parametry!$G$6,8,1))</f>
        <v>46600</v>
      </c>
      <c r="F16" s="34">
        <f>IF(C16="","",Plan!R9)</f>
        <v>18000</v>
      </c>
      <c r="G16" s="34">
        <f>IF(C16="","",SUMIFS(ERP!$I$9:$I$1008,ERP!$L$9:$L$1008,C16,ERP!$N$9:$N$1008,1,ERP!$M$9:$M$1008,8))</f>
        <v>0</v>
      </c>
      <c r="H16" s="34">
        <f>IF(C16="","",IF(8&lt;=Parametry!$G$7,0,SUMIFS(Umowy!$N$9:$N$108,Umowy!$D$9:$D$108,C16,Umowy!$O$9:$O$108,8)))</f>
        <v>18000</v>
      </c>
      <c r="I16" s="34">
        <f>IF(C16="","",IF(8&lt;=Parametry!$G$7,0,IF(COUNTIFS(Prognoza!$C$9:$C$38,C16)=1,IF(ISBLANK(INDEX(Prognoza!$K$9:$V$38,MATCH($C16,Prognoza!$C$9:$C$38,0),8)),"",IF(ISNUMBER(INDEX(Prognoza!$K$9:$V$38,MATCH($C16,Prognoza!$C$9:$C$38,0),8)),INDEX(Prognoza!$K$9:$V$38,MATCH($C16,Prognoza!$C$9:$C$38,0),8),"")),"")))</f>
        <v>0</v>
      </c>
      <c r="J16" s="35">
        <f>IF(C16="","",IF(Plan!F9="Run",IF(ISNUMBER(INDEX(Parametry!$H$18:$S$18,1,8)),INDEX(Parametry!$H$18:$S$18,1,8),""),IF(ISNUMBER(INDEX(Parametry!$H$24:$S$24,1,8)),INDEX(Parametry!$H$24:$S$24,1,8),"")))</f>
        <v>0</v>
      </c>
      <c r="K16" s="34">
        <f>IF(C16="","",IF(8&lt;=Parametry!$G$7,0,IF(AND(ISNUMBER(I16),ISNUMBER(J16),J16&gt;=-1),I16*(1+J16),"")))</f>
        <v>0</v>
      </c>
      <c r="L16" s="34">
        <f>IF(C16="","",IF(8&lt;=Parametry!$G$7,G16,IF(ISNUMBER(K16),H16+K16,"")))</f>
        <v>18000</v>
      </c>
      <c r="M16" s="22">
        <f t="shared" si="0"/>
        <v>0</v>
      </c>
      <c r="N16" s="7">
        <f t="shared" si="1"/>
        <v>0</v>
      </c>
      <c r="O16" s="7"/>
      <c r="P16" s="7"/>
    </row>
    <row r="17" spans="1:16" ht="24" customHeight="1">
      <c r="A17" s="7"/>
      <c r="B17" s="7"/>
      <c r="C17" s="13" t="str">
        <f>IF(Plan!C9="","",Plan!C9)</f>
        <v>IT01</v>
      </c>
      <c r="D17" s="13" t="str">
        <f>IF(C17="","",Plan!D9)</f>
        <v>Licencje stanowiskowe</v>
      </c>
      <c r="E17" s="33">
        <f>IF(OR(C17="",Parametry!$G$6=""),"",DATE(Parametry!$G$6,9,1))</f>
        <v>46631</v>
      </c>
      <c r="F17" s="34">
        <f>IF(C17="","",Plan!S9)</f>
        <v>18000</v>
      </c>
      <c r="G17" s="34">
        <f>IF(C17="","",SUMIFS(ERP!$I$9:$I$1008,ERP!$L$9:$L$1008,C17,ERP!$N$9:$N$1008,1,ERP!$M$9:$M$1008,9))</f>
        <v>0</v>
      </c>
      <c r="H17" s="34">
        <f>IF(C17="","",IF(9&lt;=Parametry!$G$7,0,SUMIFS(Umowy!$N$9:$N$108,Umowy!$D$9:$D$108,C17,Umowy!$O$9:$O$108,9)))</f>
        <v>18000</v>
      </c>
      <c r="I17" s="34">
        <f>IF(C17="","",IF(9&lt;=Parametry!$G$7,0,IF(COUNTIFS(Prognoza!$C$9:$C$38,C17)=1,IF(ISBLANK(INDEX(Prognoza!$K$9:$V$38,MATCH($C17,Prognoza!$C$9:$C$38,0),9)),"",IF(ISNUMBER(INDEX(Prognoza!$K$9:$V$38,MATCH($C17,Prognoza!$C$9:$C$38,0),9)),INDEX(Prognoza!$K$9:$V$38,MATCH($C17,Prognoza!$C$9:$C$38,0),9),"")),"")))</f>
        <v>0</v>
      </c>
      <c r="J17" s="35">
        <f>IF(C17="","",IF(Plan!F9="Run",IF(ISNUMBER(INDEX(Parametry!$H$18:$S$18,1,9)),INDEX(Parametry!$H$18:$S$18,1,9),""),IF(ISNUMBER(INDEX(Parametry!$H$24:$S$24,1,9)),INDEX(Parametry!$H$24:$S$24,1,9),"")))</f>
        <v>0</v>
      </c>
      <c r="K17" s="34">
        <f>IF(C17="","",IF(9&lt;=Parametry!$G$7,0,IF(AND(ISNUMBER(I17),ISNUMBER(J17),J17&gt;=-1),I17*(1+J17),"")))</f>
        <v>0</v>
      </c>
      <c r="L17" s="34">
        <f>IF(C17="","",IF(9&lt;=Parametry!$G$7,G17,IF(ISNUMBER(K17),H17+K17,"")))</f>
        <v>18000</v>
      </c>
      <c r="M17" s="22">
        <f t="shared" si="0"/>
        <v>0</v>
      </c>
      <c r="N17" s="7">
        <f t="shared" si="1"/>
        <v>0</v>
      </c>
      <c r="O17" s="7"/>
      <c r="P17" s="7"/>
    </row>
    <row r="18" spans="1:16" ht="24" customHeight="1">
      <c r="A18" s="7"/>
      <c r="B18" s="7"/>
      <c r="C18" s="13" t="str">
        <f>IF(Plan!C9="","",Plan!C9)</f>
        <v>IT01</v>
      </c>
      <c r="D18" s="13" t="str">
        <f>IF(C18="","",Plan!D9)</f>
        <v>Licencje stanowiskowe</v>
      </c>
      <c r="E18" s="33">
        <f>IF(OR(C18="",Parametry!$G$6=""),"",DATE(Parametry!$G$6,10,1))</f>
        <v>46661</v>
      </c>
      <c r="F18" s="34">
        <f>IF(C18="","",Plan!T9)</f>
        <v>18000</v>
      </c>
      <c r="G18" s="34">
        <f>IF(C18="","",SUMIFS(ERP!$I$9:$I$1008,ERP!$L$9:$L$1008,C18,ERP!$N$9:$N$1008,1,ERP!$M$9:$M$1008,10))</f>
        <v>0</v>
      </c>
      <c r="H18" s="34">
        <f>IF(C18="","",IF(10&lt;=Parametry!$G$7,0,SUMIFS(Umowy!$N$9:$N$108,Umowy!$D$9:$D$108,C18,Umowy!$O$9:$O$108,10)))</f>
        <v>18000</v>
      </c>
      <c r="I18" s="34">
        <f>IF(C18="","",IF(10&lt;=Parametry!$G$7,0,IF(COUNTIFS(Prognoza!$C$9:$C$38,C18)=1,IF(ISBLANK(INDEX(Prognoza!$K$9:$V$38,MATCH($C18,Prognoza!$C$9:$C$38,0),10)),"",IF(ISNUMBER(INDEX(Prognoza!$K$9:$V$38,MATCH($C18,Prognoza!$C$9:$C$38,0),10)),INDEX(Prognoza!$K$9:$V$38,MATCH($C18,Prognoza!$C$9:$C$38,0),10),"")),"")))</f>
        <v>0</v>
      </c>
      <c r="J18" s="35">
        <f>IF(C18="","",IF(Plan!F9="Run",IF(ISNUMBER(INDEX(Parametry!$H$18:$S$18,1,10)),INDEX(Parametry!$H$18:$S$18,1,10),""),IF(ISNUMBER(INDEX(Parametry!$H$24:$S$24,1,10)),INDEX(Parametry!$H$24:$S$24,1,10),"")))</f>
        <v>0</v>
      </c>
      <c r="K18" s="34">
        <f>IF(C18="","",IF(10&lt;=Parametry!$G$7,0,IF(AND(ISNUMBER(I18),ISNUMBER(J18),J18&gt;=-1),I18*(1+J18),"")))</f>
        <v>0</v>
      </c>
      <c r="L18" s="34">
        <f>IF(C18="","",IF(10&lt;=Parametry!$G$7,G18,IF(ISNUMBER(K18),H18+K18,"")))</f>
        <v>18000</v>
      </c>
      <c r="M18" s="22">
        <f t="shared" si="0"/>
        <v>0</v>
      </c>
      <c r="N18" s="7">
        <f t="shared" si="1"/>
        <v>0</v>
      </c>
      <c r="O18" s="7"/>
      <c r="P18" s="7"/>
    </row>
    <row r="19" spans="1:16" ht="24" customHeight="1">
      <c r="A19" s="7"/>
      <c r="B19" s="7"/>
      <c r="C19" s="13" t="str">
        <f>IF(Plan!C9="","",Plan!C9)</f>
        <v>IT01</v>
      </c>
      <c r="D19" s="13" t="str">
        <f>IF(C19="","",Plan!D9)</f>
        <v>Licencje stanowiskowe</v>
      </c>
      <c r="E19" s="33">
        <f>IF(OR(C19="",Parametry!$G$6=""),"",DATE(Parametry!$G$6,11,1))</f>
        <v>46692</v>
      </c>
      <c r="F19" s="34">
        <f>IF(C19="","",Plan!U9)</f>
        <v>18000</v>
      </c>
      <c r="G19" s="34">
        <f>IF(C19="","",SUMIFS(ERP!$I$9:$I$1008,ERP!$L$9:$L$1008,C19,ERP!$N$9:$N$1008,1,ERP!$M$9:$M$1008,11))</f>
        <v>0</v>
      </c>
      <c r="H19" s="34">
        <f>IF(C19="","",IF(11&lt;=Parametry!$G$7,0,SUMIFS(Umowy!$N$9:$N$108,Umowy!$D$9:$D$108,C19,Umowy!$O$9:$O$108,11)))</f>
        <v>18000</v>
      </c>
      <c r="I19" s="34">
        <f>IF(C19="","",IF(11&lt;=Parametry!$G$7,0,IF(COUNTIFS(Prognoza!$C$9:$C$38,C19)=1,IF(ISBLANK(INDEX(Prognoza!$K$9:$V$38,MATCH($C19,Prognoza!$C$9:$C$38,0),11)),"",IF(ISNUMBER(INDEX(Prognoza!$K$9:$V$38,MATCH($C19,Prognoza!$C$9:$C$38,0),11)),INDEX(Prognoza!$K$9:$V$38,MATCH($C19,Prognoza!$C$9:$C$38,0),11),"")),"")))</f>
        <v>0</v>
      </c>
      <c r="J19" s="35">
        <f>IF(C19="","",IF(Plan!F9="Run",IF(ISNUMBER(INDEX(Parametry!$H$18:$S$18,1,11)),INDEX(Parametry!$H$18:$S$18,1,11),""),IF(ISNUMBER(INDEX(Parametry!$H$24:$S$24,1,11)),INDEX(Parametry!$H$24:$S$24,1,11),"")))</f>
        <v>0</v>
      </c>
      <c r="K19" s="34">
        <f>IF(C19="","",IF(11&lt;=Parametry!$G$7,0,IF(AND(ISNUMBER(I19),ISNUMBER(J19),J19&gt;=-1),I19*(1+J19),"")))</f>
        <v>0</v>
      </c>
      <c r="L19" s="34">
        <f>IF(C19="","",IF(11&lt;=Parametry!$G$7,G19,IF(ISNUMBER(K19),H19+K19,"")))</f>
        <v>18000</v>
      </c>
      <c r="M19" s="22">
        <f t="shared" si="0"/>
        <v>0</v>
      </c>
      <c r="N19" s="7">
        <f t="shared" si="1"/>
        <v>0</v>
      </c>
      <c r="O19" s="7"/>
      <c r="P19" s="7"/>
    </row>
    <row r="20" spans="1:16" ht="24" customHeight="1">
      <c r="A20" s="7"/>
      <c r="B20" s="7"/>
      <c r="C20" s="13" t="str">
        <f>IF(Plan!C9="","",Plan!C9)</f>
        <v>IT01</v>
      </c>
      <c r="D20" s="13" t="str">
        <f>IF(C20="","",Plan!D9)</f>
        <v>Licencje stanowiskowe</v>
      </c>
      <c r="E20" s="33">
        <f>IF(OR(C20="",Parametry!$G$6=""),"",DATE(Parametry!$G$6,12,1))</f>
        <v>46722</v>
      </c>
      <c r="F20" s="34">
        <f>IF(C20="","",Plan!V9)</f>
        <v>18000</v>
      </c>
      <c r="G20" s="34">
        <f>IF(C20="","",SUMIFS(ERP!$I$9:$I$1008,ERP!$L$9:$L$1008,C20,ERP!$N$9:$N$1008,1,ERP!$M$9:$M$1008,12))</f>
        <v>0</v>
      </c>
      <c r="H20" s="34">
        <f>IF(C20="","",IF(12&lt;=Parametry!$G$7,0,SUMIFS(Umowy!$N$9:$N$108,Umowy!$D$9:$D$108,C20,Umowy!$O$9:$O$108,12)))</f>
        <v>18000</v>
      </c>
      <c r="I20" s="34">
        <f>IF(C20="","",IF(12&lt;=Parametry!$G$7,0,IF(COUNTIFS(Prognoza!$C$9:$C$38,C20)=1,IF(ISBLANK(INDEX(Prognoza!$K$9:$V$38,MATCH($C20,Prognoza!$C$9:$C$38,0),12)),"",IF(ISNUMBER(INDEX(Prognoza!$K$9:$V$38,MATCH($C20,Prognoza!$C$9:$C$38,0),12)),INDEX(Prognoza!$K$9:$V$38,MATCH($C20,Prognoza!$C$9:$C$38,0),12),"")),"")))</f>
        <v>0</v>
      </c>
      <c r="J20" s="35">
        <f>IF(C20="","",IF(Plan!F9="Run",IF(ISNUMBER(INDEX(Parametry!$H$18:$S$18,1,12)),INDEX(Parametry!$H$18:$S$18,1,12),""),IF(ISNUMBER(INDEX(Parametry!$H$24:$S$24,1,12)),INDEX(Parametry!$H$24:$S$24,1,12),"")))</f>
        <v>0</v>
      </c>
      <c r="K20" s="34">
        <f>IF(C20="","",IF(12&lt;=Parametry!$G$7,0,IF(AND(ISNUMBER(I20),ISNUMBER(J20),J20&gt;=-1),I20*(1+J20),"")))</f>
        <v>0</v>
      </c>
      <c r="L20" s="34">
        <f>IF(C20="","",IF(12&lt;=Parametry!$G$7,G20,IF(ISNUMBER(K20),H20+K20,"")))</f>
        <v>18000</v>
      </c>
      <c r="M20" s="22">
        <f t="shared" si="0"/>
        <v>0</v>
      </c>
      <c r="N20" s="7">
        <f t="shared" si="1"/>
        <v>0</v>
      </c>
      <c r="O20" s="7"/>
      <c r="P20" s="7"/>
    </row>
    <row r="21" spans="1:16" ht="24" customHeight="1">
      <c r="A21" s="7"/>
      <c r="B21" s="7"/>
      <c r="C21" s="13" t="str">
        <f>IF(Plan!C10="","",Plan!C10)</f>
        <v>IT02</v>
      </c>
      <c r="D21" s="13" t="str">
        <f>IF(C21="","",Plan!D10)</f>
        <v>Utrzymanie ERP</v>
      </c>
      <c r="E21" s="33">
        <f>IF(OR(C21="",Parametry!$G$6=""),"",DATE(Parametry!$G$6,1,1))</f>
        <v>46388</v>
      </c>
      <c r="F21" s="34">
        <f>IF(C21="","",Plan!K10)</f>
        <v>144000</v>
      </c>
      <c r="G21" s="34">
        <f>IF(C21="","",SUMIFS(ERP!$I$9:$I$1008,ERP!$L$9:$L$1008,C21,ERP!$N$9:$N$1008,1,ERP!$M$9:$M$1008,1))</f>
        <v>120000</v>
      </c>
      <c r="H21" s="34">
        <f>IF(C21="","",IF(1&lt;=Parametry!$G$7,0,SUMIFS(Umowy!$N$9:$N$108,Umowy!$D$9:$D$108,C21,Umowy!$O$9:$O$108,1)))</f>
        <v>0</v>
      </c>
      <c r="I21" s="34">
        <f>IF(C21="","",IF(1&lt;=Parametry!$G$7,0,IF(COUNTIFS(Prognoza!$C$9:$C$38,C21)=1,IF(ISBLANK(INDEX(Prognoza!$K$9:$V$38,MATCH($C21,Prognoza!$C$9:$C$38,0),1)),"",IF(ISNUMBER(INDEX(Prognoza!$K$9:$V$38,MATCH($C21,Prognoza!$C$9:$C$38,0),1)),INDEX(Prognoza!$K$9:$V$38,MATCH($C21,Prognoza!$C$9:$C$38,0),1),"")),"")))</f>
        <v>0</v>
      </c>
      <c r="J21" s="35">
        <f>IF(C21="","",IF(Plan!F10="Run",IF(ISNUMBER(INDEX(Parametry!$H$18:$S$18,1,1)),INDEX(Parametry!$H$18:$S$18,1,1),""),IF(ISNUMBER(INDEX(Parametry!$H$24:$S$24,1,1)),INDEX(Parametry!$H$24:$S$24,1,1),"")))</f>
        <v>0</v>
      </c>
      <c r="K21" s="34">
        <f>IF(C21="","",IF(1&lt;=Parametry!$G$7,0,IF(AND(ISNUMBER(I21),ISNUMBER(J21),J21&gt;=-1),I21*(1+J21),"")))</f>
        <v>0</v>
      </c>
      <c r="L21" s="34">
        <f>IF(C21="","",IF(1&lt;=Parametry!$G$7,G21,IF(ISNUMBER(K21),H21+K21,"")))</f>
        <v>120000</v>
      </c>
      <c r="M21" s="22">
        <f t="shared" si="0"/>
        <v>-24000</v>
      </c>
      <c r="N21" s="7">
        <f t="shared" si="1"/>
        <v>0</v>
      </c>
      <c r="O21" s="7"/>
      <c r="P21" s="7"/>
    </row>
    <row r="22" spans="1:16" ht="24" customHeight="1">
      <c r="A22" s="7"/>
      <c r="B22" s="7"/>
      <c r="C22" s="13" t="str">
        <f>IF(Plan!C10="","",Plan!C10)</f>
        <v>IT02</v>
      </c>
      <c r="D22" s="13" t="str">
        <f>IF(C22="","",Plan!D10)</f>
        <v>Utrzymanie ERP</v>
      </c>
      <c r="E22" s="33">
        <f>IF(OR(C22="",Parametry!$G$6=""),"",DATE(Parametry!$G$6,2,1))</f>
        <v>46419</v>
      </c>
      <c r="F22" s="34">
        <f>IF(C22="","",Plan!L10)</f>
        <v>0</v>
      </c>
      <c r="G22" s="34">
        <f>IF(C22="","",SUMIFS(ERP!$I$9:$I$1008,ERP!$L$9:$L$1008,C22,ERP!$N$9:$N$1008,1,ERP!$M$9:$M$1008,2))</f>
        <v>0</v>
      </c>
      <c r="H22" s="34">
        <f>IF(C22="","",IF(2&lt;=Parametry!$G$7,0,SUMIFS(Umowy!$N$9:$N$108,Umowy!$D$9:$D$108,C22,Umowy!$O$9:$O$108,2)))</f>
        <v>0</v>
      </c>
      <c r="I22" s="34">
        <f>IF(C22="","",IF(2&lt;=Parametry!$G$7,0,IF(COUNTIFS(Prognoza!$C$9:$C$38,C22)=1,IF(ISBLANK(INDEX(Prognoza!$K$9:$V$38,MATCH($C22,Prognoza!$C$9:$C$38,0),2)),"",IF(ISNUMBER(INDEX(Prognoza!$K$9:$V$38,MATCH($C22,Prognoza!$C$9:$C$38,0),2)),INDEX(Prognoza!$K$9:$V$38,MATCH($C22,Prognoza!$C$9:$C$38,0),2),"")),"")))</f>
        <v>0</v>
      </c>
      <c r="J22" s="35">
        <f>IF(C22="","",IF(Plan!F10="Run",IF(ISNUMBER(INDEX(Parametry!$H$18:$S$18,1,2)),INDEX(Parametry!$H$18:$S$18,1,2),""),IF(ISNUMBER(INDEX(Parametry!$H$24:$S$24,1,2)),INDEX(Parametry!$H$24:$S$24,1,2),"")))</f>
        <v>0</v>
      </c>
      <c r="K22" s="34">
        <f>IF(C22="","",IF(2&lt;=Parametry!$G$7,0,IF(AND(ISNUMBER(I22),ISNUMBER(J22),J22&gt;=-1),I22*(1+J22),"")))</f>
        <v>0</v>
      </c>
      <c r="L22" s="34">
        <f>IF(C22="","",IF(2&lt;=Parametry!$G$7,G22,IF(ISNUMBER(K22),H22+K22,"")))</f>
        <v>0</v>
      </c>
      <c r="M22" s="22">
        <f t="shared" si="0"/>
        <v>0</v>
      </c>
      <c r="N22" s="7">
        <f t="shared" si="1"/>
        <v>0</v>
      </c>
      <c r="O22" s="7"/>
      <c r="P22" s="7"/>
    </row>
    <row r="23" spans="1:16" ht="24" customHeight="1">
      <c r="A23" s="7"/>
      <c r="B23" s="7"/>
      <c r="C23" s="13" t="str">
        <f>IF(Plan!C10="","",Plan!C10)</f>
        <v>IT02</v>
      </c>
      <c r="D23" s="13" t="str">
        <f>IF(C23="","",Plan!D10)</f>
        <v>Utrzymanie ERP</v>
      </c>
      <c r="E23" s="33">
        <f>IF(OR(C23="",Parametry!$G$6=""),"",DATE(Parametry!$G$6,3,1))</f>
        <v>46447</v>
      </c>
      <c r="F23" s="34">
        <f>IF(C23="","",Plan!M10)</f>
        <v>0</v>
      </c>
      <c r="G23" s="34">
        <f>IF(C23="","",SUMIFS(ERP!$I$9:$I$1008,ERP!$L$9:$L$1008,C23,ERP!$N$9:$N$1008,1,ERP!$M$9:$M$1008,3))</f>
        <v>0</v>
      </c>
      <c r="H23" s="34">
        <f>IF(C23="","",IF(3&lt;=Parametry!$G$7,0,SUMIFS(Umowy!$N$9:$N$108,Umowy!$D$9:$D$108,C23,Umowy!$O$9:$O$108,3)))</f>
        <v>0</v>
      </c>
      <c r="I23" s="34">
        <f>IF(C23="","",IF(3&lt;=Parametry!$G$7,0,IF(COUNTIFS(Prognoza!$C$9:$C$38,C23)=1,IF(ISBLANK(INDEX(Prognoza!$K$9:$V$38,MATCH($C23,Prognoza!$C$9:$C$38,0),3)),"",IF(ISNUMBER(INDEX(Prognoza!$K$9:$V$38,MATCH($C23,Prognoza!$C$9:$C$38,0),3)),INDEX(Prognoza!$K$9:$V$38,MATCH($C23,Prognoza!$C$9:$C$38,0),3),"")),"")))</f>
        <v>0</v>
      </c>
      <c r="J23" s="35">
        <f>IF(C23="","",IF(Plan!F10="Run",IF(ISNUMBER(INDEX(Parametry!$H$18:$S$18,1,3)),INDEX(Parametry!$H$18:$S$18,1,3),""),IF(ISNUMBER(INDEX(Parametry!$H$24:$S$24,1,3)),INDEX(Parametry!$H$24:$S$24,1,3),"")))</f>
        <v>0</v>
      </c>
      <c r="K23" s="34">
        <f>IF(C23="","",IF(3&lt;=Parametry!$G$7,0,IF(AND(ISNUMBER(I23),ISNUMBER(J23),J23&gt;=-1),I23*(1+J23),"")))</f>
        <v>0</v>
      </c>
      <c r="L23" s="34">
        <f>IF(C23="","",IF(3&lt;=Parametry!$G$7,G23,IF(ISNUMBER(K23),H23+K23,"")))</f>
        <v>0</v>
      </c>
      <c r="M23" s="22">
        <f t="shared" si="0"/>
        <v>0</v>
      </c>
      <c r="N23" s="7">
        <f t="shared" si="1"/>
        <v>0</v>
      </c>
      <c r="O23" s="7"/>
      <c r="P23" s="7"/>
    </row>
    <row r="24" spans="1:16" ht="24" customHeight="1">
      <c r="A24" s="7"/>
      <c r="B24" s="7"/>
      <c r="C24" s="13" t="str">
        <f>IF(Plan!C10="","",Plan!C10)</f>
        <v>IT02</v>
      </c>
      <c r="D24" s="13" t="str">
        <f>IF(C24="","",Plan!D10)</f>
        <v>Utrzymanie ERP</v>
      </c>
      <c r="E24" s="33">
        <f>IF(OR(C24="",Parametry!$G$6=""),"",DATE(Parametry!$G$6,4,1))</f>
        <v>46478</v>
      </c>
      <c r="F24" s="34">
        <f>IF(C24="","",Plan!N10)</f>
        <v>0</v>
      </c>
      <c r="G24" s="34">
        <f>IF(C24="","",SUMIFS(ERP!$I$9:$I$1008,ERP!$L$9:$L$1008,C24,ERP!$N$9:$N$1008,1,ERP!$M$9:$M$1008,4))</f>
        <v>0</v>
      </c>
      <c r="H24" s="34">
        <f>IF(C24="","",IF(4&lt;=Parametry!$G$7,0,SUMIFS(Umowy!$N$9:$N$108,Umowy!$D$9:$D$108,C24,Umowy!$O$9:$O$108,4)))</f>
        <v>0</v>
      </c>
      <c r="I24" s="34">
        <f>IF(C24="","",IF(4&lt;=Parametry!$G$7,0,IF(COUNTIFS(Prognoza!$C$9:$C$38,C24)=1,IF(ISBLANK(INDEX(Prognoza!$K$9:$V$38,MATCH($C24,Prognoza!$C$9:$C$38,0),4)),"",IF(ISNUMBER(INDEX(Prognoza!$K$9:$V$38,MATCH($C24,Prognoza!$C$9:$C$38,0),4)),INDEX(Prognoza!$K$9:$V$38,MATCH($C24,Prognoza!$C$9:$C$38,0),4),"")),"")))</f>
        <v>0</v>
      </c>
      <c r="J24" s="35">
        <f>IF(C24="","",IF(Plan!F10="Run",IF(ISNUMBER(INDEX(Parametry!$H$18:$S$18,1,4)),INDEX(Parametry!$H$18:$S$18,1,4),""),IF(ISNUMBER(INDEX(Parametry!$H$24:$S$24,1,4)),INDEX(Parametry!$H$24:$S$24,1,4),"")))</f>
        <v>0</v>
      </c>
      <c r="K24" s="34">
        <f>IF(C24="","",IF(4&lt;=Parametry!$G$7,0,IF(AND(ISNUMBER(I24),ISNUMBER(J24),J24&gt;=-1),I24*(1+J24),"")))</f>
        <v>0</v>
      </c>
      <c r="L24" s="34">
        <f>IF(C24="","",IF(4&lt;=Parametry!$G$7,G24,IF(ISNUMBER(K24),H24+K24,"")))</f>
        <v>0</v>
      </c>
      <c r="M24" s="22">
        <f t="shared" si="0"/>
        <v>0</v>
      </c>
      <c r="N24" s="7">
        <f t="shared" si="1"/>
        <v>0</v>
      </c>
      <c r="O24" s="7"/>
      <c r="P24" s="7"/>
    </row>
    <row r="25" spans="1:16" ht="24" customHeight="1">
      <c r="A25" s="7"/>
      <c r="B25" s="7"/>
      <c r="C25" s="13" t="str">
        <f>IF(Plan!C10="","",Plan!C10)</f>
        <v>IT02</v>
      </c>
      <c r="D25" s="13" t="str">
        <f>IF(C25="","",Plan!D10)</f>
        <v>Utrzymanie ERP</v>
      </c>
      <c r="E25" s="33">
        <f>IF(OR(C25="",Parametry!$G$6=""),"",DATE(Parametry!$G$6,5,1))</f>
        <v>46508</v>
      </c>
      <c r="F25" s="34">
        <f>IF(C25="","",Plan!O10)</f>
        <v>0</v>
      </c>
      <c r="G25" s="34">
        <f>IF(C25="","",SUMIFS(ERP!$I$9:$I$1008,ERP!$L$9:$L$1008,C25,ERP!$N$9:$N$1008,1,ERP!$M$9:$M$1008,5))</f>
        <v>0</v>
      </c>
      <c r="H25" s="34">
        <f>IF(C25="","",IF(5&lt;=Parametry!$G$7,0,SUMIFS(Umowy!$N$9:$N$108,Umowy!$D$9:$D$108,C25,Umowy!$O$9:$O$108,5)))</f>
        <v>0</v>
      </c>
      <c r="I25" s="34">
        <f>IF(C25="","",IF(5&lt;=Parametry!$G$7,0,IF(COUNTIFS(Prognoza!$C$9:$C$38,C25)=1,IF(ISBLANK(INDEX(Prognoza!$K$9:$V$38,MATCH($C25,Prognoza!$C$9:$C$38,0),5)),"",IF(ISNUMBER(INDEX(Prognoza!$K$9:$V$38,MATCH($C25,Prognoza!$C$9:$C$38,0),5)),INDEX(Prognoza!$K$9:$V$38,MATCH($C25,Prognoza!$C$9:$C$38,0),5),"")),"")))</f>
        <v>0</v>
      </c>
      <c r="J25" s="35">
        <f>IF(C25="","",IF(Plan!F10="Run",IF(ISNUMBER(INDEX(Parametry!$H$18:$S$18,1,5)),INDEX(Parametry!$H$18:$S$18,1,5),""),IF(ISNUMBER(INDEX(Parametry!$H$24:$S$24,1,5)),INDEX(Parametry!$H$24:$S$24,1,5),"")))</f>
        <v>0</v>
      </c>
      <c r="K25" s="34">
        <f>IF(C25="","",IF(5&lt;=Parametry!$G$7,0,IF(AND(ISNUMBER(I25),ISNUMBER(J25),J25&gt;=-1),I25*(1+J25),"")))</f>
        <v>0</v>
      </c>
      <c r="L25" s="34">
        <f>IF(C25="","",IF(5&lt;=Parametry!$G$7,G25,IF(ISNUMBER(K25),H25+K25,"")))</f>
        <v>0</v>
      </c>
      <c r="M25" s="22">
        <f t="shared" si="0"/>
        <v>0</v>
      </c>
      <c r="N25" s="7">
        <f t="shared" si="1"/>
        <v>0</v>
      </c>
      <c r="O25" s="7"/>
      <c r="P25" s="7"/>
    </row>
    <row r="26" spans="1:16" ht="24" customHeight="1">
      <c r="A26" s="7"/>
      <c r="B26" s="7"/>
      <c r="C26" s="13" t="str">
        <f>IF(Plan!C10="","",Plan!C10)</f>
        <v>IT02</v>
      </c>
      <c r="D26" s="13" t="str">
        <f>IF(C26="","",Plan!D10)</f>
        <v>Utrzymanie ERP</v>
      </c>
      <c r="E26" s="33">
        <f>IF(OR(C26="",Parametry!$G$6=""),"",DATE(Parametry!$G$6,6,1))</f>
        <v>46539</v>
      </c>
      <c r="F26" s="34">
        <f>IF(C26="","",Plan!P10)</f>
        <v>0</v>
      </c>
      <c r="G26" s="34">
        <f>IF(C26="","",SUMIFS(ERP!$I$9:$I$1008,ERP!$L$9:$L$1008,C26,ERP!$N$9:$N$1008,1,ERP!$M$9:$M$1008,6))</f>
        <v>-2000</v>
      </c>
      <c r="H26" s="34">
        <f>IF(C26="","",IF(6&lt;=Parametry!$G$7,0,SUMIFS(Umowy!$N$9:$N$108,Umowy!$D$9:$D$108,C26,Umowy!$O$9:$O$108,6)))</f>
        <v>0</v>
      </c>
      <c r="I26" s="34">
        <f>IF(C26="","",IF(6&lt;=Parametry!$G$7,0,IF(COUNTIFS(Prognoza!$C$9:$C$38,C26)=1,IF(ISBLANK(INDEX(Prognoza!$K$9:$V$38,MATCH($C26,Prognoza!$C$9:$C$38,0),6)),"",IF(ISNUMBER(INDEX(Prognoza!$K$9:$V$38,MATCH($C26,Prognoza!$C$9:$C$38,0),6)),INDEX(Prognoza!$K$9:$V$38,MATCH($C26,Prognoza!$C$9:$C$38,0),6),"")),"")))</f>
        <v>0</v>
      </c>
      <c r="J26" s="35">
        <f>IF(C26="","",IF(Plan!F10="Run",IF(ISNUMBER(INDEX(Parametry!$H$18:$S$18,1,6)),INDEX(Parametry!$H$18:$S$18,1,6),""),IF(ISNUMBER(INDEX(Parametry!$H$24:$S$24,1,6)),INDEX(Parametry!$H$24:$S$24,1,6),"")))</f>
        <v>0</v>
      </c>
      <c r="K26" s="34">
        <f>IF(C26="","",IF(6&lt;=Parametry!$G$7,0,IF(AND(ISNUMBER(I26),ISNUMBER(J26),J26&gt;=-1),I26*(1+J26),"")))</f>
        <v>0</v>
      </c>
      <c r="L26" s="34">
        <f>IF(C26="","",IF(6&lt;=Parametry!$G$7,G26,IF(ISNUMBER(K26),H26+K26,"")))</f>
        <v>-2000</v>
      </c>
      <c r="M26" s="22">
        <f t="shared" si="0"/>
        <v>-2000</v>
      </c>
      <c r="N26" s="7">
        <f t="shared" si="1"/>
        <v>0</v>
      </c>
      <c r="O26" s="7"/>
      <c r="P26" s="7"/>
    </row>
    <row r="27" spans="1:16" ht="24" customHeight="1">
      <c r="A27" s="7"/>
      <c r="B27" s="7"/>
      <c r="C27" s="13" t="str">
        <f>IF(Plan!C10="","",Plan!C10)</f>
        <v>IT02</v>
      </c>
      <c r="D27" s="13" t="str">
        <f>IF(C27="","",Plan!D10)</f>
        <v>Utrzymanie ERP</v>
      </c>
      <c r="E27" s="33">
        <f>IF(OR(C27="",Parametry!$G$6=""),"",DATE(Parametry!$G$6,7,1))</f>
        <v>46569</v>
      </c>
      <c r="F27" s="34">
        <f>IF(C27="","",Plan!Q10)</f>
        <v>0</v>
      </c>
      <c r="G27" s="34">
        <f>IF(C27="","",SUMIFS(ERP!$I$9:$I$1008,ERP!$L$9:$L$1008,C27,ERP!$N$9:$N$1008,1,ERP!$M$9:$M$1008,7))</f>
        <v>0</v>
      </c>
      <c r="H27" s="34">
        <f>IF(C27="","",IF(7&lt;=Parametry!$G$7,0,SUMIFS(Umowy!$N$9:$N$108,Umowy!$D$9:$D$108,C27,Umowy!$O$9:$O$108,7)))</f>
        <v>26000</v>
      </c>
      <c r="I27" s="34">
        <f>IF(C27="","",IF(7&lt;=Parametry!$G$7,0,IF(COUNTIFS(Prognoza!$C$9:$C$38,C27)=1,IF(ISBLANK(INDEX(Prognoza!$K$9:$V$38,MATCH($C27,Prognoza!$C$9:$C$38,0),7)),"",IF(ISNUMBER(INDEX(Prognoza!$K$9:$V$38,MATCH($C27,Prognoza!$C$9:$C$38,0),7)),INDEX(Prognoza!$K$9:$V$38,MATCH($C27,Prognoza!$C$9:$C$38,0),7),"")),"")))</f>
        <v>0</v>
      </c>
      <c r="J27" s="35">
        <f>IF(C27="","",IF(Plan!F10="Run",IF(ISNUMBER(INDEX(Parametry!$H$18:$S$18,1,7)),INDEX(Parametry!$H$18:$S$18,1,7),""),IF(ISNUMBER(INDEX(Parametry!$H$24:$S$24,1,7)),INDEX(Parametry!$H$24:$S$24,1,7),"")))</f>
        <v>0</v>
      </c>
      <c r="K27" s="34">
        <f>IF(C27="","",IF(7&lt;=Parametry!$G$7,0,IF(AND(ISNUMBER(I27),ISNUMBER(J27),J27&gt;=-1),I27*(1+J27),"")))</f>
        <v>0</v>
      </c>
      <c r="L27" s="34">
        <f>IF(C27="","",IF(7&lt;=Parametry!$G$7,G27,IF(ISNUMBER(K27),H27+K27,"")))</f>
        <v>26000</v>
      </c>
      <c r="M27" s="22">
        <f t="shared" si="0"/>
        <v>26000</v>
      </c>
      <c r="N27" s="7">
        <f t="shared" si="1"/>
        <v>0</v>
      </c>
      <c r="O27" s="7"/>
      <c r="P27" s="7"/>
    </row>
    <row r="28" spans="1:16" ht="24" customHeight="1">
      <c r="A28" s="7"/>
      <c r="B28" s="7"/>
      <c r="C28" s="13" t="str">
        <f>IF(Plan!C10="","",Plan!C10)</f>
        <v>IT02</v>
      </c>
      <c r="D28" s="13" t="str">
        <f>IF(C28="","",Plan!D10)</f>
        <v>Utrzymanie ERP</v>
      </c>
      <c r="E28" s="33">
        <f>IF(OR(C28="",Parametry!$G$6=""),"",DATE(Parametry!$G$6,8,1))</f>
        <v>46600</v>
      </c>
      <c r="F28" s="34">
        <f>IF(C28="","",Plan!R10)</f>
        <v>0</v>
      </c>
      <c r="G28" s="34">
        <f>IF(C28="","",SUMIFS(ERP!$I$9:$I$1008,ERP!$L$9:$L$1008,C28,ERP!$N$9:$N$1008,1,ERP!$M$9:$M$1008,8))</f>
        <v>0</v>
      </c>
      <c r="H28" s="34">
        <f>IF(C28="","",IF(8&lt;=Parametry!$G$7,0,SUMIFS(Umowy!$N$9:$N$108,Umowy!$D$9:$D$108,C28,Umowy!$O$9:$O$108,8)))</f>
        <v>0</v>
      </c>
      <c r="I28" s="34">
        <f>IF(C28="","",IF(8&lt;=Parametry!$G$7,0,IF(COUNTIFS(Prognoza!$C$9:$C$38,C28)=1,IF(ISBLANK(INDEX(Prognoza!$K$9:$V$38,MATCH($C28,Prognoza!$C$9:$C$38,0),8)),"",IF(ISNUMBER(INDEX(Prognoza!$K$9:$V$38,MATCH($C28,Prognoza!$C$9:$C$38,0),8)),INDEX(Prognoza!$K$9:$V$38,MATCH($C28,Prognoza!$C$9:$C$38,0),8),"")),"")))</f>
        <v>0</v>
      </c>
      <c r="J28" s="35">
        <f>IF(C28="","",IF(Plan!F10="Run",IF(ISNUMBER(INDEX(Parametry!$H$18:$S$18,1,8)),INDEX(Parametry!$H$18:$S$18,1,8),""),IF(ISNUMBER(INDEX(Parametry!$H$24:$S$24,1,8)),INDEX(Parametry!$H$24:$S$24,1,8),"")))</f>
        <v>0</v>
      </c>
      <c r="K28" s="34">
        <f>IF(C28="","",IF(8&lt;=Parametry!$G$7,0,IF(AND(ISNUMBER(I28),ISNUMBER(J28),J28&gt;=-1),I28*(1+J28),"")))</f>
        <v>0</v>
      </c>
      <c r="L28" s="34">
        <f>IF(C28="","",IF(8&lt;=Parametry!$G$7,G28,IF(ISNUMBER(K28),H28+K28,"")))</f>
        <v>0</v>
      </c>
      <c r="M28" s="22">
        <f t="shared" si="0"/>
        <v>0</v>
      </c>
      <c r="N28" s="7">
        <f t="shared" si="1"/>
        <v>0</v>
      </c>
      <c r="O28" s="7"/>
      <c r="P28" s="7"/>
    </row>
    <row r="29" spans="1:16" ht="24" customHeight="1">
      <c r="A29" s="7"/>
      <c r="B29" s="7"/>
      <c r="C29" s="13" t="str">
        <f>IF(Plan!C10="","",Plan!C10)</f>
        <v>IT02</v>
      </c>
      <c r="D29" s="13" t="str">
        <f>IF(C29="","",Plan!D10)</f>
        <v>Utrzymanie ERP</v>
      </c>
      <c r="E29" s="33">
        <f>IF(OR(C29="",Parametry!$G$6=""),"",DATE(Parametry!$G$6,9,1))</f>
        <v>46631</v>
      </c>
      <c r="F29" s="34">
        <f>IF(C29="","",Plan!S10)</f>
        <v>0</v>
      </c>
      <c r="G29" s="34">
        <f>IF(C29="","",SUMIFS(ERP!$I$9:$I$1008,ERP!$L$9:$L$1008,C29,ERP!$N$9:$N$1008,1,ERP!$M$9:$M$1008,9))</f>
        <v>0</v>
      </c>
      <c r="H29" s="34">
        <f>IF(C29="","",IF(9&lt;=Parametry!$G$7,0,SUMIFS(Umowy!$N$9:$N$108,Umowy!$D$9:$D$108,C29,Umowy!$O$9:$O$108,9)))</f>
        <v>0</v>
      </c>
      <c r="I29" s="34">
        <f>IF(C29="","",IF(9&lt;=Parametry!$G$7,0,IF(COUNTIFS(Prognoza!$C$9:$C$38,C29)=1,IF(ISBLANK(INDEX(Prognoza!$K$9:$V$38,MATCH($C29,Prognoza!$C$9:$C$38,0),9)),"",IF(ISNUMBER(INDEX(Prognoza!$K$9:$V$38,MATCH($C29,Prognoza!$C$9:$C$38,0),9)),INDEX(Prognoza!$K$9:$V$38,MATCH($C29,Prognoza!$C$9:$C$38,0),9),"")),"")))</f>
        <v>0</v>
      </c>
      <c r="J29" s="35">
        <f>IF(C29="","",IF(Plan!F10="Run",IF(ISNUMBER(INDEX(Parametry!$H$18:$S$18,1,9)),INDEX(Parametry!$H$18:$S$18,1,9),""),IF(ISNUMBER(INDEX(Parametry!$H$24:$S$24,1,9)),INDEX(Parametry!$H$24:$S$24,1,9),"")))</f>
        <v>0</v>
      </c>
      <c r="K29" s="34">
        <f>IF(C29="","",IF(9&lt;=Parametry!$G$7,0,IF(AND(ISNUMBER(I29),ISNUMBER(J29),J29&gt;=-1),I29*(1+J29),"")))</f>
        <v>0</v>
      </c>
      <c r="L29" s="34">
        <f>IF(C29="","",IF(9&lt;=Parametry!$G$7,G29,IF(ISNUMBER(K29),H29+K29,"")))</f>
        <v>0</v>
      </c>
      <c r="M29" s="22">
        <f t="shared" si="0"/>
        <v>0</v>
      </c>
      <c r="N29" s="7">
        <f t="shared" si="1"/>
        <v>0</v>
      </c>
      <c r="O29" s="7"/>
      <c r="P29" s="7"/>
    </row>
    <row r="30" spans="1:16" ht="24" customHeight="1">
      <c r="A30" s="7"/>
      <c r="B30" s="7"/>
      <c r="C30" s="13" t="str">
        <f>IF(Plan!C10="","",Plan!C10)</f>
        <v>IT02</v>
      </c>
      <c r="D30" s="13" t="str">
        <f>IF(C30="","",Plan!D10)</f>
        <v>Utrzymanie ERP</v>
      </c>
      <c r="E30" s="33">
        <f>IF(OR(C30="",Parametry!$G$6=""),"",DATE(Parametry!$G$6,10,1))</f>
        <v>46661</v>
      </c>
      <c r="F30" s="34">
        <f>IF(C30="","",Plan!T10)</f>
        <v>0</v>
      </c>
      <c r="G30" s="34">
        <f>IF(C30="","",SUMIFS(ERP!$I$9:$I$1008,ERP!$L$9:$L$1008,C30,ERP!$N$9:$N$1008,1,ERP!$M$9:$M$1008,10))</f>
        <v>0</v>
      </c>
      <c r="H30" s="34">
        <f>IF(C30="","",IF(10&lt;=Parametry!$G$7,0,SUMIFS(Umowy!$N$9:$N$108,Umowy!$D$9:$D$108,C30,Umowy!$O$9:$O$108,10)))</f>
        <v>0</v>
      </c>
      <c r="I30" s="34">
        <f>IF(C30="","",IF(10&lt;=Parametry!$G$7,0,IF(COUNTIFS(Prognoza!$C$9:$C$38,C30)=1,IF(ISBLANK(INDEX(Prognoza!$K$9:$V$38,MATCH($C30,Prognoza!$C$9:$C$38,0),10)),"",IF(ISNUMBER(INDEX(Prognoza!$K$9:$V$38,MATCH($C30,Prognoza!$C$9:$C$38,0),10)),INDEX(Prognoza!$K$9:$V$38,MATCH($C30,Prognoza!$C$9:$C$38,0),10),"")),"")))</f>
        <v>0</v>
      </c>
      <c r="J30" s="35">
        <f>IF(C30="","",IF(Plan!F10="Run",IF(ISNUMBER(INDEX(Parametry!$H$18:$S$18,1,10)),INDEX(Parametry!$H$18:$S$18,1,10),""),IF(ISNUMBER(INDEX(Parametry!$H$24:$S$24,1,10)),INDEX(Parametry!$H$24:$S$24,1,10),"")))</f>
        <v>0</v>
      </c>
      <c r="K30" s="34">
        <f>IF(C30="","",IF(10&lt;=Parametry!$G$7,0,IF(AND(ISNUMBER(I30),ISNUMBER(J30),J30&gt;=-1),I30*(1+J30),"")))</f>
        <v>0</v>
      </c>
      <c r="L30" s="34">
        <f>IF(C30="","",IF(10&lt;=Parametry!$G$7,G30,IF(ISNUMBER(K30),H30+K30,"")))</f>
        <v>0</v>
      </c>
      <c r="M30" s="22">
        <f t="shared" si="0"/>
        <v>0</v>
      </c>
      <c r="N30" s="7">
        <f t="shared" si="1"/>
        <v>0</v>
      </c>
      <c r="O30" s="7"/>
      <c r="P30" s="7"/>
    </row>
    <row r="31" spans="1:16" ht="24" customHeight="1">
      <c r="A31" s="7"/>
      <c r="B31" s="7"/>
      <c r="C31" s="13" t="str">
        <f>IF(Plan!C10="","",Plan!C10)</f>
        <v>IT02</v>
      </c>
      <c r="D31" s="13" t="str">
        <f>IF(C31="","",Plan!D10)</f>
        <v>Utrzymanie ERP</v>
      </c>
      <c r="E31" s="33">
        <f>IF(OR(C31="",Parametry!$G$6=""),"",DATE(Parametry!$G$6,11,1))</f>
        <v>46692</v>
      </c>
      <c r="F31" s="34">
        <f>IF(C31="","",Plan!U10)</f>
        <v>0</v>
      </c>
      <c r="G31" s="34">
        <f>IF(C31="","",SUMIFS(ERP!$I$9:$I$1008,ERP!$L$9:$L$1008,C31,ERP!$N$9:$N$1008,1,ERP!$M$9:$M$1008,11))</f>
        <v>0</v>
      </c>
      <c r="H31" s="34">
        <f>IF(C31="","",IF(11&lt;=Parametry!$G$7,0,SUMIFS(Umowy!$N$9:$N$108,Umowy!$D$9:$D$108,C31,Umowy!$O$9:$O$108,11)))</f>
        <v>0</v>
      </c>
      <c r="I31" s="34">
        <f>IF(C31="","",IF(11&lt;=Parametry!$G$7,0,IF(COUNTIFS(Prognoza!$C$9:$C$38,C31)=1,IF(ISBLANK(INDEX(Prognoza!$K$9:$V$38,MATCH($C31,Prognoza!$C$9:$C$38,0),11)),"",IF(ISNUMBER(INDEX(Prognoza!$K$9:$V$38,MATCH($C31,Prognoza!$C$9:$C$38,0),11)),INDEX(Prognoza!$K$9:$V$38,MATCH($C31,Prognoza!$C$9:$C$38,0),11),"")),"")))</f>
        <v>0</v>
      </c>
      <c r="J31" s="35">
        <f>IF(C31="","",IF(Plan!F10="Run",IF(ISNUMBER(INDEX(Parametry!$H$18:$S$18,1,11)),INDEX(Parametry!$H$18:$S$18,1,11),""),IF(ISNUMBER(INDEX(Parametry!$H$24:$S$24,1,11)),INDEX(Parametry!$H$24:$S$24,1,11),"")))</f>
        <v>0</v>
      </c>
      <c r="K31" s="34">
        <f>IF(C31="","",IF(11&lt;=Parametry!$G$7,0,IF(AND(ISNUMBER(I31),ISNUMBER(J31),J31&gt;=-1),I31*(1+J31),"")))</f>
        <v>0</v>
      </c>
      <c r="L31" s="34">
        <f>IF(C31="","",IF(11&lt;=Parametry!$G$7,G31,IF(ISNUMBER(K31),H31+K31,"")))</f>
        <v>0</v>
      </c>
      <c r="M31" s="22">
        <f t="shared" si="0"/>
        <v>0</v>
      </c>
      <c r="N31" s="7">
        <f t="shared" si="1"/>
        <v>0</v>
      </c>
      <c r="O31" s="7"/>
      <c r="P31" s="7"/>
    </row>
    <row r="32" spans="1:16" ht="24" customHeight="1">
      <c r="A32" s="7"/>
      <c r="B32" s="7"/>
      <c r="C32" s="13" t="str">
        <f>IF(Plan!C10="","",Plan!C10)</f>
        <v>IT02</v>
      </c>
      <c r="D32" s="13" t="str">
        <f>IF(C32="","",Plan!D10)</f>
        <v>Utrzymanie ERP</v>
      </c>
      <c r="E32" s="33">
        <f>IF(OR(C32="",Parametry!$G$6=""),"",DATE(Parametry!$G$6,12,1))</f>
        <v>46722</v>
      </c>
      <c r="F32" s="34">
        <f>IF(C32="","",Plan!V10)</f>
        <v>0</v>
      </c>
      <c r="G32" s="34">
        <f>IF(C32="","",SUMIFS(ERP!$I$9:$I$1008,ERP!$L$9:$L$1008,C32,ERP!$N$9:$N$1008,1,ERP!$M$9:$M$1008,12))</f>
        <v>0</v>
      </c>
      <c r="H32" s="34">
        <f>IF(C32="","",IF(12&lt;=Parametry!$G$7,0,SUMIFS(Umowy!$N$9:$N$108,Umowy!$D$9:$D$108,C32,Umowy!$O$9:$O$108,12)))</f>
        <v>0</v>
      </c>
      <c r="I32" s="34">
        <f>IF(C32="","",IF(12&lt;=Parametry!$G$7,0,IF(COUNTIFS(Prognoza!$C$9:$C$38,C32)=1,IF(ISBLANK(INDEX(Prognoza!$K$9:$V$38,MATCH($C32,Prognoza!$C$9:$C$38,0),12)),"",IF(ISNUMBER(INDEX(Prognoza!$K$9:$V$38,MATCH($C32,Prognoza!$C$9:$C$38,0),12)),INDEX(Prognoza!$K$9:$V$38,MATCH($C32,Prognoza!$C$9:$C$38,0),12),"")),"")))</f>
        <v>0</v>
      </c>
      <c r="J32" s="35">
        <f>IF(C32="","",IF(Plan!F10="Run",IF(ISNUMBER(INDEX(Parametry!$H$18:$S$18,1,12)),INDEX(Parametry!$H$18:$S$18,1,12),""),IF(ISNUMBER(INDEX(Parametry!$H$24:$S$24,1,12)),INDEX(Parametry!$H$24:$S$24,1,12),"")))</f>
        <v>0</v>
      </c>
      <c r="K32" s="34">
        <f>IF(C32="","",IF(12&lt;=Parametry!$G$7,0,IF(AND(ISNUMBER(I32),ISNUMBER(J32),J32&gt;=-1),I32*(1+J32),"")))</f>
        <v>0</v>
      </c>
      <c r="L32" s="34">
        <f>IF(C32="","",IF(12&lt;=Parametry!$G$7,G32,IF(ISNUMBER(K32),H32+K32,"")))</f>
        <v>0</v>
      </c>
      <c r="M32" s="22">
        <f t="shared" si="0"/>
        <v>0</v>
      </c>
      <c r="N32" s="7">
        <f t="shared" si="1"/>
        <v>0</v>
      </c>
      <c r="O32" s="7"/>
      <c r="P32" s="7"/>
    </row>
    <row r="33" spans="1:16" ht="24" customHeight="1">
      <c r="A33" s="7"/>
      <c r="B33" s="7"/>
      <c r="C33" s="13" t="str">
        <f>IF(Plan!C11="","",Plan!C11)</f>
        <v>IT03</v>
      </c>
      <c r="D33" s="13" t="str">
        <f>IF(C33="","",Plan!D11)</f>
        <v>Backup i odtwarzanie</v>
      </c>
      <c r="E33" s="33">
        <f>IF(OR(C33="",Parametry!$G$6=""),"",DATE(Parametry!$G$6,1,1))</f>
        <v>46388</v>
      </c>
      <c r="F33" s="34">
        <f>IF(C33="","",Plan!K11)</f>
        <v>3000</v>
      </c>
      <c r="G33" s="34">
        <f>IF(C33="","",SUMIFS(ERP!$I$9:$I$1008,ERP!$L$9:$L$1008,C33,ERP!$N$9:$N$1008,1,ERP!$M$9:$M$1008,1))</f>
        <v>3000</v>
      </c>
      <c r="H33" s="34">
        <f>IF(C33="","",IF(1&lt;=Parametry!$G$7,0,SUMIFS(Umowy!$N$9:$N$108,Umowy!$D$9:$D$108,C33,Umowy!$O$9:$O$108,1)))</f>
        <v>0</v>
      </c>
      <c r="I33" s="34">
        <f>IF(C33="","",IF(1&lt;=Parametry!$G$7,0,IF(COUNTIFS(Prognoza!$C$9:$C$38,C33)=1,IF(ISBLANK(INDEX(Prognoza!$K$9:$V$38,MATCH($C33,Prognoza!$C$9:$C$38,0),1)),"",IF(ISNUMBER(INDEX(Prognoza!$K$9:$V$38,MATCH($C33,Prognoza!$C$9:$C$38,0),1)),INDEX(Prognoza!$K$9:$V$38,MATCH($C33,Prognoza!$C$9:$C$38,0),1),"")),"")))</f>
        <v>0</v>
      </c>
      <c r="J33" s="35">
        <f>IF(C33="","",IF(Plan!F11="Run",IF(ISNUMBER(INDEX(Parametry!$H$18:$S$18,1,1)),INDEX(Parametry!$H$18:$S$18,1,1),""),IF(ISNUMBER(INDEX(Parametry!$H$24:$S$24,1,1)),INDEX(Parametry!$H$24:$S$24,1,1),"")))</f>
        <v>0</v>
      </c>
      <c r="K33" s="34">
        <f>IF(C33="","",IF(1&lt;=Parametry!$G$7,0,IF(AND(ISNUMBER(I33),ISNUMBER(J33),J33&gt;=-1),I33*(1+J33),"")))</f>
        <v>0</v>
      </c>
      <c r="L33" s="34">
        <f>IF(C33="","",IF(1&lt;=Parametry!$G$7,G33,IF(ISNUMBER(K33),H33+K33,"")))</f>
        <v>3000</v>
      </c>
      <c r="M33" s="22">
        <f t="shared" si="0"/>
        <v>0</v>
      </c>
      <c r="N33" s="7">
        <f t="shared" si="1"/>
        <v>0</v>
      </c>
      <c r="O33" s="7"/>
      <c r="P33" s="7"/>
    </row>
    <row r="34" spans="1:16" ht="24" customHeight="1">
      <c r="A34" s="7"/>
      <c r="B34" s="7"/>
      <c r="C34" s="13" t="str">
        <f>IF(Plan!C11="","",Plan!C11)</f>
        <v>IT03</v>
      </c>
      <c r="D34" s="13" t="str">
        <f>IF(C34="","",Plan!D11)</f>
        <v>Backup i odtwarzanie</v>
      </c>
      <c r="E34" s="33">
        <f>IF(OR(C34="",Parametry!$G$6=""),"",DATE(Parametry!$G$6,2,1))</f>
        <v>46419</v>
      </c>
      <c r="F34" s="34">
        <f>IF(C34="","",Plan!L11)</f>
        <v>3000</v>
      </c>
      <c r="G34" s="34">
        <f>IF(C34="","",SUMIFS(ERP!$I$9:$I$1008,ERP!$L$9:$L$1008,C34,ERP!$N$9:$N$1008,1,ERP!$M$9:$M$1008,2))</f>
        <v>3000</v>
      </c>
      <c r="H34" s="34">
        <f>IF(C34="","",IF(2&lt;=Parametry!$G$7,0,SUMIFS(Umowy!$N$9:$N$108,Umowy!$D$9:$D$108,C34,Umowy!$O$9:$O$108,2)))</f>
        <v>0</v>
      </c>
      <c r="I34" s="34">
        <f>IF(C34="","",IF(2&lt;=Parametry!$G$7,0,IF(COUNTIFS(Prognoza!$C$9:$C$38,C34)=1,IF(ISBLANK(INDEX(Prognoza!$K$9:$V$38,MATCH($C34,Prognoza!$C$9:$C$38,0),2)),"",IF(ISNUMBER(INDEX(Prognoza!$K$9:$V$38,MATCH($C34,Prognoza!$C$9:$C$38,0),2)),INDEX(Prognoza!$K$9:$V$38,MATCH($C34,Prognoza!$C$9:$C$38,0),2),"")),"")))</f>
        <v>0</v>
      </c>
      <c r="J34" s="35">
        <f>IF(C34="","",IF(Plan!F11="Run",IF(ISNUMBER(INDEX(Parametry!$H$18:$S$18,1,2)),INDEX(Parametry!$H$18:$S$18,1,2),""),IF(ISNUMBER(INDEX(Parametry!$H$24:$S$24,1,2)),INDEX(Parametry!$H$24:$S$24,1,2),"")))</f>
        <v>0</v>
      </c>
      <c r="K34" s="34">
        <f>IF(C34="","",IF(2&lt;=Parametry!$G$7,0,IF(AND(ISNUMBER(I34),ISNUMBER(J34),J34&gt;=-1),I34*(1+J34),"")))</f>
        <v>0</v>
      </c>
      <c r="L34" s="34">
        <f>IF(C34="","",IF(2&lt;=Parametry!$G$7,G34,IF(ISNUMBER(K34),H34+K34,"")))</f>
        <v>3000</v>
      </c>
      <c r="M34" s="22">
        <f t="shared" si="0"/>
        <v>0</v>
      </c>
      <c r="N34" s="7">
        <f t="shared" si="1"/>
        <v>0</v>
      </c>
      <c r="O34" s="7"/>
      <c r="P34" s="7"/>
    </row>
    <row r="35" spans="1:16" ht="24" customHeight="1">
      <c r="A35" s="7"/>
      <c r="B35" s="7"/>
      <c r="C35" s="13" t="str">
        <f>IF(Plan!C11="","",Plan!C11)</f>
        <v>IT03</v>
      </c>
      <c r="D35" s="13" t="str">
        <f>IF(C35="","",Plan!D11)</f>
        <v>Backup i odtwarzanie</v>
      </c>
      <c r="E35" s="33">
        <f>IF(OR(C35="",Parametry!$G$6=""),"",DATE(Parametry!$G$6,3,1))</f>
        <v>46447</v>
      </c>
      <c r="F35" s="34">
        <f>IF(C35="","",Plan!M11)</f>
        <v>3000</v>
      </c>
      <c r="G35" s="34">
        <f>IF(C35="","",SUMIFS(ERP!$I$9:$I$1008,ERP!$L$9:$L$1008,C35,ERP!$N$9:$N$1008,1,ERP!$M$9:$M$1008,3))</f>
        <v>3000</v>
      </c>
      <c r="H35" s="34">
        <f>IF(C35="","",IF(3&lt;=Parametry!$G$7,0,SUMIFS(Umowy!$N$9:$N$108,Umowy!$D$9:$D$108,C35,Umowy!$O$9:$O$108,3)))</f>
        <v>0</v>
      </c>
      <c r="I35" s="34">
        <f>IF(C35="","",IF(3&lt;=Parametry!$G$7,0,IF(COUNTIFS(Prognoza!$C$9:$C$38,C35)=1,IF(ISBLANK(INDEX(Prognoza!$K$9:$V$38,MATCH($C35,Prognoza!$C$9:$C$38,0),3)),"",IF(ISNUMBER(INDEX(Prognoza!$K$9:$V$38,MATCH($C35,Prognoza!$C$9:$C$38,0),3)),INDEX(Prognoza!$K$9:$V$38,MATCH($C35,Prognoza!$C$9:$C$38,0),3),"")),"")))</f>
        <v>0</v>
      </c>
      <c r="J35" s="35">
        <f>IF(C35="","",IF(Plan!F11="Run",IF(ISNUMBER(INDEX(Parametry!$H$18:$S$18,1,3)),INDEX(Parametry!$H$18:$S$18,1,3),""),IF(ISNUMBER(INDEX(Parametry!$H$24:$S$24,1,3)),INDEX(Parametry!$H$24:$S$24,1,3),"")))</f>
        <v>0</v>
      </c>
      <c r="K35" s="34">
        <f>IF(C35="","",IF(3&lt;=Parametry!$G$7,0,IF(AND(ISNUMBER(I35),ISNUMBER(J35),J35&gt;=-1),I35*(1+J35),"")))</f>
        <v>0</v>
      </c>
      <c r="L35" s="34">
        <f>IF(C35="","",IF(3&lt;=Parametry!$G$7,G35,IF(ISNUMBER(K35),H35+K35,"")))</f>
        <v>3000</v>
      </c>
      <c r="M35" s="22">
        <f t="shared" si="0"/>
        <v>0</v>
      </c>
      <c r="N35" s="7">
        <f t="shared" si="1"/>
        <v>0</v>
      </c>
      <c r="O35" s="7"/>
      <c r="P35" s="7"/>
    </row>
    <row r="36" spans="1:16" ht="24" customHeight="1">
      <c r="A36" s="7"/>
      <c r="B36" s="7"/>
      <c r="C36" s="13" t="str">
        <f>IF(Plan!C11="","",Plan!C11)</f>
        <v>IT03</v>
      </c>
      <c r="D36" s="13" t="str">
        <f>IF(C36="","",Plan!D11)</f>
        <v>Backup i odtwarzanie</v>
      </c>
      <c r="E36" s="33">
        <f>IF(OR(C36="",Parametry!$G$6=""),"",DATE(Parametry!$G$6,4,1))</f>
        <v>46478</v>
      </c>
      <c r="F36" s="34">
        <f>IF(C36="","",Plan!N11)</f>
        <v>3000</v>
      </c>
      <c r="G36" s="34">
        <f>IF(C36="","",SUMIFS(ERP!$I$9:$I$1008,ERP!$L$9:$L$1008,C36,ERP!$N$9:$N$1008,1,ERP!$M$9:$M$1008,4))</f>
        <v>3000</v>
      </c>
      <c r="H36" s="34">
        <f>IF(C36="","",IF(4&lt;=Parametry!$G$7,0,SUMIFS(Umowy!$N$9:$N$108,Umowy!$D$9:$D$108,C36,Umowy!$O$9:$O$108,4)))</f>
        <v>0</v>
      </c>
      <c r="I36" s="34">
        <f>IF(C36="","",IF(4&lt;=Parametry!$G$7,0,IF(COUNTIFS(Prognoza!$C$9:$C$38,C36)=1,IF(ISBLANK(INDEX(Prognoza!$K$9:$V$38,MATCH($C36,Prognoza!$C$9:$C$38,0),4)),"",IF(ISNUMBER(INDEX(Prognoza!$K$9:$V$38,MATCH($C36,Prognoza!$C$9:$C$38,0),4)),INDEX(Prognoza!$K$9:$V$38,MATCH($C36,Prognoza!$C$9:$C$38,0),4),"")),"")))</f>
        <v>0</v>
      </c>
      <c r="J36" s="35">
        <f>IF(C36="","",IF(Plan!F11="Run",IF(ISNUMBER(INDEX(Parametry!$H$18:$S$18,1,4)),INDEX(Parametry!$H$18:$S$18,1,4),""),IF(ISNUMBER(INDEX(Parametry!$H$24:$S$24,1,4)),INDEX(Parametry!$H$24:$S$24,1,4),"")))</f>
        <v>0</v>
      </c>
      <c r="K36" s="34">
        <f>IF(C36="","",IF(4&lt;=Parametry!$G$7,0,IF(AND(ISNUMBER(I36),ISNUMBER(J36),J36&gt;=-1),I36*(1+J36),"")))</f>
        <v>0</v>
      </c>
      <c r="L36" s="34">
        <f>IF(C36="","",IF(4&lt;=Parametry!$G$7,G36,IF(ISNUMBER(K36),H36+K36,"")))</f>
        <v>3000</v>
      </c>
      <c r="M36" s="22">
        <f t="shared" si="0"/>
        <v>0</v>
      </c>
      <c r="N36" s="7">
        <f t="shared" si="1"/>
        <v>0</v>
      </c>
      <c r="O36" s="7"/>
      <c r="P36" s="7"/>
    </row>
    <row r="37" spans="1:16" ht="24" customHeight="1">
      <c r="A37" s="7"/>
      <c r="B37" s="7"/>
      <c r="C37" s="13" t="str">
        <f>IF(Plan!C11="","",Plan!C11)</f>
        <v>IT03</v>
      </c>
      <c r="D37" s="13" t="str">
        <f>IF(C37="","",Plan!D11)</f>
        <v>Backup i odtwarzanie</v>
      </c>
      <c r="E37" s="33">
        <f>IF(OR(C37="",Parametry!$G$6=""),"",DATE(Parametry!$G$6,5,1))</f>
        <v>46508</v>
      </c>
      <c r="F37" s="34">
        <f>IF(C37="","",Plan!O11)</f>
        <v>3000</v>
      </c>
      <c r="G37" s="34">
        <f>IF(C37="","",SUMIFS(ERP!$I$9:$I$1008,ERP!$L$9:$L$1008,C37,ERP!$N$9:$N$1008,1,ERP!$M$9:$M$1008,5))</f>
        <v>3000</v>
      </c>
      <c r="H37" s="34">
        <f>IF(C37="","",IF(5&lt;=Parametry!$G$7,0,SUMIFS(Umowy!$N$9:$N$108,Umowy!$D$9:$D$108,C37,Umowy!$O$9:$O$108,5)))</f>
        <v>0</v>
      </c>
      <c r="I37" s="34">
        <f>IF(C37="","",IF(5&lt;=Parametry!$G$7,0,IF(COUNTIFS(Prognoza!$C$9:$C$38,C37)=1,IF(ISBLANK(INDEX(Prognoza!$K$9:$V$38,MATCH($C37,Prognoza!$C$9:$C$38,0),5)),"",IF(ISNUMBER(INDEX(Prognoza!$K$9:$V$38,MATCH($C37,Prognoza!$C$9:$C$38,0),5)),INDEX(Prognoza!$K$9:$V$38,MATCH($C37,Prognoza!$C$9:$C$38,0),5),"")),"")))</f>
        <v>0</v>
      </c>
      <c r="J37" s="35">
        <f>IF(C37="","",IF(Plan!F11="Run",IF(ISNUMBER(INDEX(Parametry!$H$18:$S$18,1,5)),INDEX(Parametry!$H$18:$S$18,1,5),""),IF(ISNUMBER(INDEX(Parametry!$H$24:$S$24,1,5)),INDEX(Parametry!$H$24:$S$24,1,5),"")))</f>
        <v>0</v>
      </c>
      <c r="K37" s="34">
        <f>IF(C37="","",IF(5&lt;=Parametry!$G$7,0,IF(AND(ISNUMBER(I37),ISNUMBER(J37),J37&gt;=-1),I37*(1+J37),"")))</f>
        <v>0</v>
      </c>
      <c r="L37" s="34">
        <f>IF(C37="","",IF(5&lt;=Parametry!$G$7,G37,IF(ISNUMBER(K37),H37+K37,"")))</f>
        <v>3000</v>
      </c>
      <c r="M37" s="22">
        <f t="shared" si="0"/>
        <v>0</v>
      </c>
      <c r="N37" s="7">
        <f t="shared" si="1"/>
        <v>0</v>
      </c>
      <c r="O37" s="7"/>
      <c r="P37" s="7"/>
    </row>
    <row r="38" spans="1:16" ht="24" customHeight="1">
      <c r="A38" s="7"/>
      <c r="B38" s="7"/>
      <c r="C38" s="13" t="str">
        <f>IF(Plan!C11="","",Plan!C11)</f>
        <v>IT03</v>
      </c>
      <c r="D38" s="13" t="str">
        <f>IF(C38="","",Plan!D11)</f>
        <v>Backup i odtwarzanie</v>
      </c>
      <c r="E38" s="33">
        <f>IF(OR(C38="",Parametry!$G$6=""),"",DATE(Parametry!$G$6,6,1))</f>
        <v>46539</v>
      </c>
      <c r="F38" s="34">
        <f>IF(C38="","",Plan!P11)</f>
        <v>3000</v>
      </c>
      <c r="G38" s="34">
        <f>IF(C38="","",SUMIFS(ERP!$I$9:$I$1008,ERP!$L$9:$L$1008,C38,ERP!$N$9:$N$1008,1,ERP!$M$9:$M$1008,6))</f>
        <v>3000</v>
      </c>
      <c r="H38" s="34">
        <f>IF(C38="","",IF(6&lt;=Parametry!$G$7,0,SUMIFS(Umowy!$N$9:$N$108,Umowy!$D$9:$D$108,C38,Umowy!$O$9:$O$108,6)))</f>
        <v>0</v>
      </c>
      <c r="I38" s="34">
        <f>IF(C38="","",IF(6&lt;=Parametry!$G$7,0,IF(COUNTIFS(Prognoza!$C$9:$C$38,C38)=1,IF(ISBLANK(INDEX(Prognoza!$K$9:$V$38,MATCH($C38,Prognoza!$C$9:$C$38,0),6)),"",IF(ISNUMBER(INDEX(Prognoza!$K$9:$V$38,MATCH($C38,Prognoza!$C$9:$C$38,0),6)),INDEX(Prognoza!$K$9:$V$38,MATCH($C38,Prognoza!$C$9:$C$38,0),6),"")),"")))</f>
        <v>0</v>
      </c>
      <c r="J38" s="35">
        <f>IF(C38="","",IF(Plan!F11="Run",IF(ISNUMBER(INDEX(Parametry!$H$18:$S$18,1,6)),INDEX(Parametry!$H$18:$S$18,1,6),""),IF(ISNUMBER(INDEX(Parametry!$H$24:$S$24,1,6)),INDEX(Parametry!$H$24:$S$24,1,6),"")))</f>
        <v>0</v>
      </c>
      <c r="K38" s="34">
        <f>IF(C38="","",IF(6&lt;=Parametry!$G$7,0,IF(AND(ISNUMBER(I38),ISNUMBER(J38),J38&gt;=-1),I38*(1+J38),"")))</f>
        <v>0</v>
      </c>
      <c r="L38" s="34">
        <f>IF(C38="","",IF(6&lt;=Parametry!$G$7,G38,IF(ISNUMBER(K38),H38+K38,"")))</f>
        <v>3000</v>
      </c>
      <c r="M38" s="22">
        <f t="shared" si="0"/>
        <v>0</v>
      </c>
      <c r="N38" s="7">
        <f t="shared" si="1"/>
        <v>0</v>
      </c>
      <c r="O38" s="7"/>
      <c r="P38" s="7"/>
    </row>
    <row r="39" spans="1:16" ht="24" customHeight="1">
      <c r="A39" s="7"/>
      <c r="B39" s="7"/>
      <c r="C39" s="13" t="str">
        <f>IF(Plan!C11="","",Plan!C11)</f>
        <v>IT03</v>
      </c>
      <c r="D39" s="13" t="str">
        <f>IF(C39="","",Plan!D11)</f>
        <v>Backup i odtwarzanie</v>
      </c>
      <c r="E39" s="33">
        <f>IF(OR(C39="",Parametry!$G$6=""),"",DATE(Parametry!$G$6,7,1))</f>
        <v>46569</v>
      </c>
      <c r="F39" s="34">
        <f>IF(C39="","",Plan!Q11)</f>
        <v>3000</v>
      </c>
      <c r="G39" s="34">
        <f>IF(C39="","",SUMIFS(ERP!$I$9:$I$1008,ERP!$L$9:$L$1008,C39,ERP!$N$9:$N$1008,1,ERP!$M$9:$M$1008,7))</f>
        <v>0</v>
      </c>
      <c r="H39" s="34">
        <f>IF(C39="","",IF(7&lt;=Parametry!$G$7,0,SUMIFS(Umowy!$N$9:$N$108,Umowy!$D$9:$D$108,C39,Umowy!$O$9:$O$108,7)))</f>
        <v>3000</v>
      </c>
      <c r="I39" s="34">
        <f>IF(C39="","",IF(7&lt;=Parametry!$G$7,0,IF(COUNTIFS(Prognoza!$C$9:$C$38,C39)=1,IF(ISBLANK(INDEX(Prognoza!$K$9:$V$38,MATCH($C39,Prognoza!$C$9:$C$38,0),7)),"",IF(ISNUMBER(INDEX(Prognoza!$K$9:$V$38,MATCH($C39,Prognoza!$C$9:$C$38,0),7)),INDEX(Prognoza!$K$9:$V$38,MATCH($C39,Prognoza!$C$9:$C$38,0),7),"")),"")))</f>
        <v>0</v>
      </c>
      <c r="J39" s="35">
        <f>IF(C39="","",IF(Plan!F11="Run",IF(ISNUMBER(INDEX(Parametry!$H$18:$S$18,1,7)),INDEX(Parametry!$H$18:$S$18,1,7),""),IF(ISNUMBER(INDEX(Parametry!$H$24:$S$24,1,7)),INDEX(Parametry!$H$24:$S$24,1,7),"")))</f>
        <v>0</v>
      </c>
      <c r="K39" s="34">
        <f>IF(C39="","",IF(7&lt;=Parametry!$G$7,0,IF(AND(ISNUMBER(I39),ISNUMBER(J39),J39&gt;=-1),I39*(1+J39),"")))</f>
        <v>0</v>
      </c>
      <c r="L39" s="34">
        <f>IF(C39="","",IF(7&lt;=Parametry!$G$7,G39,IF(ISNUMBER(K39),H39+K39,"")))</f>
        <v>3000</v>
      </c>
      <c r="M39" s="22">
        <f t="shared" si="0"/>
        <v>0</v>
      </c>
      <c r="N39" s="7">
        <f t="shared" si="1"/>
        <v>0</v>
      </c>
      <c r="O39" s="7"/>
      <c r="P39" s="7"/>
    </row>
    <row r="40" spans="1:16" ht="24" customHeight="1">
      <c r="A40" s="7"/>
      <c r="B40" s="7"/>
      <c r="C40" s="13" t="str">
        <f>IF(Plan!C11="","",Plan!C11)</f>
        <v>IT03</v>
      </c>
      <c r="D40" s="13" t="str">
        <f>IF(C40="","",Plan!D11)</f>
        <v>Backup i odtwarzanie</v>
      </c>
      <c r="E40" s="33">
        <f>IF(OR(C40="",Parametry!$G$6=""),"",DATE(Parametry!$G$6,8,1))</f>
        <v>46600</v>
      </c>
      <c r="F40" s="34">
        <f>IF(C40="","",Plan!R11)</f>
        <v>3000</v>
      </c>
      <c r="G40" s="34">
        <f>IF(C40="","",SUMIFS(ERP!$I$9:$I$1008,ERP!$L$9:$L$1008,C40,ERP!$N$9:$N$1008,1,ERP!$M$9:$M$1008,8))</f>
        <v>0</v>
      </c>
      <c r="H40" s="34">
        <f>IF(C40="","",IF(8&lt;=Parametry!$G$7,0,SUMIFS(Umowy!$N$9:$N$108,Umowy!$D$9:$D$108,C40,Umowy!$O$9:$O$108,8)))</f>
        <v>3000</v>
      </c>
      <c r="I40" s="34">
        <f>IF(C40="","",IF(8&lt;=Parametry!$G$7,0,IF(COUNTIFS(Prognoza!$C$9:$C$38,C40)=1,IF(ISBLANK(INDEX(Prognoza!$K$9:$V$38,MATCH($C40,Prognoza!$C$9:$C$38,0),8)),"",IF(ISNUMBER(INDEX(Prognoza!$K$9:$V$38,MATCH($C40,Prognoza!$C$9:$C$38,0),8)),INDEX(Prognoza!$K$9:$V$38,MATCH($C40,Prognoza!$C$9:$C$38,0),8),"")),"")))</f>
        <v>0</v>
      </c>
      <c r="J40" s="35">
        <f>IF(C40="","",IF(Plan!F11="Run",IF(ISNUMBER(INDEX(Parametry!$H$18:$S$18,1,8)),INDEX(Parametry!$H$18:$S$18,1,8),""),IF(ISNUMBER(INDEX(Parametry!$H$24:$S$24,1,8)),INDEX(Parametry!$H$24:$S$24,1,8),"")))</f>
        <v>0</v>
      </c>
      <c r="K40" s="34">
        <f>IF(C40="","",IF(8&lt;=Parametry!$G$7,0,IF(AND(ISNUMBER(I40),ISNUMBER(J40),J40&gt;=-1),I40*(1+J40),"")))</f>
        <v>0</v>
      </c>
      <c r="L40" s="34">
        <f>IF(C40="","",IF(8&lt;=Parametry!$G$7,G40,IF(ISNUMBER(K40),H40+K40,"")))</f>
        <v>3000</v>
      </c>
      <c r="M40" s="22">
        <f t="shared" si="0"/>
        <v>0</v>
      </c>
      <c r="N40" s="7">
        <f t="shared" si="1"/>
        <v>0</v>
      </c>
      <c r="O40" s="7"/>
      <c r="P40" s="7"/>
    </row>
    <row r="41" spans="1:16" ht="24" customHeight="1">
      <c r="A41" s="7"/>
      <c r="B41" s="7"/>
      <c r="C41" s="13" t="str">
        <f>IF(Plan!C11="","",Plan!C11)</f>
        <v>IT03</v>
      </c>
      <c r="D41" s="13" t="str">
        <f>IF(C41="","",Plan!D11)</f>
        <v>Backup i odtwarzanie</v>
      </c>
      <c r="E41" s="33">
        <f>IF(OR(C41="",Parametry!$G$6=""),"",DATE(Parametry!$G$6,9,1))</f>
        <v>46631</v>
      </c>
      <c r="F41" s="34">
        <f>IF(C41="","",Plan!S11)</f>
        <v>3000</v>
      </c>
      <c r="G41" s="34">
        <f>IF(C41="","",SUMIFS(ERP!$I$9:$I$1008,ERP!$L$9:$L$1008,C41,ERP!$N$9:$N$1008,1,ERP!$M$9:$M$1008,9))</f>
        <v>0</v>
      </c>
      <c r="H41" s="34">
        <f>IF(C41="","",IF(9&lt;=Parametry!$G$7,0,SUMIFS(Umowy!$N$9:$N$108,Umowy!$D$9:$D$108,C41,Umowy!$O$9:$O$108,9)))</f>
        <v>3000</v>
      </c>
      <c r="I41" s="34">
        <f>IF(C41="","",IF(9&lt;=Parametry!$G$7,0,IF(COUNTIFS(Prognoza!$C$9:$C$38,C41)=1,IF(ISBLANK(INDEX(Prognoza!$K$9:$V$38,MATCH($C41,Prognoza!$C$9:$C$38,0),9)),"",IF(ISNUMBER(INDEX(Prognoza!$K$9:$V$38,MATCH($C41,Prognoza!$C$9:$C$38,0),9)),INDEX(Prognoza!$K$9:$V$38,MATCH($C41,Prognoza!$C$9:$C$38,0),9),"")),"")))</f>
        <v>0</v>
      </c>
      <c r="J41" s="35">
        <f>IF(C41="","",IF(Plan!F11="Run",IF(ISNUMBER(INDEX(Parametry!$H$18:$S$18,1,9)),INDEX(Parametry!$H$18:$S$18,1,9),""),IF(ISNUMBER(INDEX(Parametry!$H$24:$S$24,1,9)),INDEX(Parametry!$H$24:$S$24,1,9),"")))</f>
        <v>0</v>
      </c>
      <c r="K41" s="34">
        <f>IF(C41="","",IF(9&lt;=Parametry!$G$7,0,IF(AND(ISNUMBER(I41),ISNUMBER(J41),J41&gt;=-1),I41*(1+J41),"")))</f>
        <v>0</v>
      </c>
      <c r="L41" s="34">
        <f>IF(C41="","",IF(9&lt;=Parametry!$G$7,G41,IF(ISNUMBER(K41),H41+K41,"")))</f>
        <v>3000</v>
      </c>
      <c r="M41" s="22">
        <f t="shared" si="0"/>
        <v>0</v>
      </c>
      <c r="N41" s="7">
        <f t="shared" si="1"/>
        <v>0</v>
      </c>
      <c r="O41" s="7"/>
      <c r="P41" s="7"/>
    </row>
    <row r="42" spans="1:16" ht="24" customHeight="1">
      <c r="A42" s="7"/>
      <c r="B42" s="7"/>
      <c r="C42" s="13" t="str">
        <f>IF(Plan!C11="","",Plan!C11)</f>
        <v>IT03</v>
      </c>
      <c r="D42" s="13" t="str">
        <f>IF(C42="","",Plan!D11)</f>
        <v>Backup i odtwarzanie</v>
      </c>
      <c r="E42" s="33">
        <f>IF(OR(C42="",Parametry!$G$6=""),"",DATE(Parametry!$G$6,10,1))</f>
        <v>46661</v>
      </c>
      <c r="F42" s="34">
        <f>IF(C42="","",Plan!T11)</f>
        <v>3000</v>
      </c>
      <c r="G42" s="34">
        <f>IF(C42="","",SUMIFS(ERP!$I$9:$I$1008,ERP!$L$9:$L$1008,C42,ERP!$N$9:$N$1008,1,ERP!$M$9:$M$1008,10))</f>
        <v>0</v>
      </c>
      <c r="H42" s="34">
        <f>IF(C42="","",IF(10&lt;=Parametry!$G$7,0,SUMIFS(Umowy!$N$9:$N$108,Umowy!$D$9:$D$108,C42,Umowy!$O$9:$O$108,10)))</f>
        <v>3000</v>
      </c>
      <c r="I42" s="34">
        <f>IF(C42="","",IF(10&lt;=Parametry!$G$7,0,IF(COUNTIFS(Prognoza!$C$9:$C$38,C42)=1,IF(ISBLANK(INDEX(Prognoza!$K$9:$V$38,MATCH($C42,Prognoza!$C$9:$C$38,0),10)),"",IF(ISNUMBER(INDEX(Prognoza!$K$9:$V$38,MATCH($C42,Prognoza!$C$9:$C$38,0),10)),INDEX(Prognoza!$K$9:$V$38,MATCH($C42,Prognoza!$C$9:$C$38,0),10),"")),"")))</f>
        <v>0</v>
      </c>
      <c r="J42" s="35">
        <f>IF(C42="","",IF(Plan!F11="Run",IF(ISNUMBER(INDEX(Parametry!$H$18:$S$18,1,10)),INDEX(Parametry!$H$18:$S$18,1,10),""),IF(ISNUMBER(INDEX(Parametry!$H$24:$S$24,1,10)),INDEX(Parametry!$H$24:$S$24,1,10),"")))</f>
        <v>0</v>
      </c>
      <c r="K42" s="34">
        <f>IF(C42="","",IF(10&lt;=Parametry!$G$7,0,IF(AND(ISNUMBER(I42),ISNUMBER(J42),J42&gt;=-1),I42*(1+J42),"")))</f>
        <v>0</v>
      </c>
      <c r="L42" s="34">
        <f>IF(C42="","",IF(10&lt;=Parametry!$G$7,G42,IF(ISNUMBER(K42),H42+K42,"")))</f>
        <v>3000</v>
      </c>
      <c r="M42" s="22">
        <f t="shared" si="0"/>
        <v>0</v>
      </c>
      <c r="N42" s="7">
        <f t="shared" si="1"/>
        <v>0</v>
      </c>
      <c r="O42" s="7"/>
      <c r="P42" s="7"/>
    </row>
    <row r="43" spans="1:16" ht="24" customHeight="1">
      <c r="A43" s="7"/>
      <c r="B43" s="7"/>
      <c r="C43" s="13" t="str">
        <f>IF(Plan!C11="","",Plan!C11)</f>
        <v>IT03</v>
      </c>
      <c r="D43" s="13" t="str">
        <f>IF(C43="","",Plan!D11)</f>
        <v>Backup i odtwarzanie</v>
      </c>
      <c r="E43" s="33">
        <f>IF(OR(C43="",Parametry!$G$6=""),"",DATE(Parametry!$G$6,11,1))</f>
        <v>46692</v>
      </c>
      <c r="F43" s="34">
        <f>IF(C43="","",Plan!U11)</f>
        <v>3000</v>
      </c>
      <c r="G43" s="34">
        <f>IF(C43="","",SUMIFS(ERP!$I$9:$I$1008,ERP!$L$9:$L$1008,C43,ERP!$N$9:$N$1008,1,ERP!$M$9:$M$1008,11))</f>
        <v>0</v>
      </c>
      <c r="H43" s="34">
        <f>IF(C43="","",IF(11&lt;=Parametry!$G$7,0,SUMIFS(Umowy!$N$9:$N$108,Umowy!$D$9:$D$108,C43,Umowy!$O$9:$O$108,11)))</f>
        <v>3000</v>
      </c>
      <c r="I43" s="34">
        <f>IF(C43="","",IF(11&lt;=Parametry!$G$7,0,IF(COUNTIFS(Prognoza!$C$9:$C$38,C43)=1,IF(ISBLANK(INDEX(Prognoza!$K$9:$V$38,MATCH($C43,Prognoza!$C$9:$C$38,0),11)),"",IF(ISNUMBER(INDEX(Prognoza!$K$9:$V$38,MATCH($C43,Prognoza!$C$9:$C$38,0),11)),INDEX(Prognoza!$K$9:$V$38,MATCH($C43,Prognoza!$C$9:$C$38,0),11),"")),"")))</f>
        <v>0</v>
      </c>
      <c r="J43" s="35">
        <f>IF(C43="","",IF(Plan!F11="Run",IF(ISNUMBER(INDEX(Parametry!$H$18:$S$18,1,11)),INDEX(Parametry!$H$18:$S$18,1,11),""),IF(ISNUMBER(INDEX(Parametry!$H$24:$S$24,1,11)),INDEX(Parametry!$H$24:$S$24,1,11),"")))</f>
        <v>0</v>
      </c>
      <c r="K43" s="34">
        <f>IF(C43="","",IF(11&lt;=Parametry!$G$7,0,IF(AND(ISNUMBER(I43),ISNUMBER(J43),J43&gt;=-1),I43*(1+J43),"")))</f>
        <v>0</v>
      </c>
      <c r="L43" s="34">
        <f>IF(C43="","",IF(11&lt;=Parametry!$G$7,G43,IF(ISNUMBER(K43),H43+K43,"")))</f>
        <v>3000</v>
      </c>
      <c r="M43" s="22">
        <f t="shared" si="0"/>
        <v>0</v>
      </c>
      <c r="N43" s="7">
        <f t="shared" si="1"/>
        <v>0</v>
      </c>
      <c r="O43" s="7"/>
      <c r="P43" s="7"/>
    </row>
    <row r="44" spans="1:16" ht="24" customHeight="1">
      <c r="A44" s="7"/>
      <c r="B44" s="7"/>
      <c r="C44" s="13" t="str">
        <f>IF(Plan!C11="","",Plan!C11)</f>
        <v>IT03</v>
      </c>
      <c r="D44" s="13" t="str">
        <f>IF(C44="","",Plan!D11)</f>
        <v>Backup i odtwarzanie</v>
      </c>
      <c r="E44" s="33">
        <f>IF(OR(C44="",Parametry!$G$6=""),"",DATE(Parametry!$G$6,12,1))</f>
        <v>46722</v>
      </c>
      <c r="F44" s="34">
        <f>IF(C44="","",Plan!V11)</f>
        <v>3000</v>
      </c>
      <c r="G44" s="34">
        <f>IF(C44="","",SUMIFS(ERP!$I$9:$I$1008,ERP!$L$9:$L$1008,C44,ERP!$N$9:$N$1008,1,ERP!$M$9:$M$1008,12))</f>
        <v>0</v>
      </c>
      <c r="H44" s="34">
        <f>IF(C44="","",IF(12&lt;=Parametry!$G$7,0,SUMIFS(Umowy!$N$9:$N$108,Umowy!$D$9:$D$108,C44,Umowy!$O$9:$O$108,12)))</f>
        <v>3000</v>
      </c>
      <c r="I44" s="34">
        <f>IF(C44="","",IF(12&lt;=Parametry!$G$7,0,IF(COUNTIFS(Prognoza!$C$9:$C$38,C44)=1,IF(ISBLANK(INDEX(Prognoza!$K$9:$V$38,MATCH($C44,Prognoza!$C$9:$C$38,0),12)),"",IF(ISNUMBER(INDEX(Prognoza!$K$9:$V$38,MATCH($C44,Prognoza!$C$9:$C$38,0),12)),INDEX(Prognoza!$K$9:$V$38,MATCH($C44,Prognoza!$C$9:$C$38,0),12),"")),"")))</f>
        <v>0</v>
      </c>
      <c r="J44" s="35">
        <f>IF(C44="","",IF(Plan!F11="Run",IF(ISNUMBER(INDEX(Parametry!$H$18:$S$18,1,12)),INDEX(Parametry!$H$18:$S$18,1,12),""),IF(ISNUMBER(INDEX(Parametry!$H$24:$S$24,1,12)),INDEX(Parametry!$H$24:$S$24,1,12),"")))</f>
        <v>0</v>
      </c>
      <c r="K44" s="34">
        <f>IF(C44="","",IF(12&lt;=Parametry!$G$7,0,IF(AND(ISNUMBER(I44),ISNUMBER(J44),J44&gt;=-1),I44*(1+J44),"")))</f>
        <v>0</v>
      </c>
      <c r="L44" s="34">
        <f>IF(C44="","",IF(12&lt;=Parametry!$G$7,G44,IF(ISNUMBER(K44),H44+K44,"")))</f>
        <v>3000</v>
      </c>
      <c r="M44" s="22">
        <f t="shared" si="0"/>
        <v>0</v>
      </c>
      <c r="N44" s="7">
        <f t="shared" si="1"/>
        <v>0</v>
      </c>
      <c r="O44" s="7"/>
      <c r="P44" s="7"/>
    </row>
    <row r="45" spans="1:16" ht="24" customHeight="1">
      <c r="A45" s="7"/>
      <c r="B45" s="7"/>
      <c r="C45" s="13" t="str">
        <f>IF(Plan!C12="","",Plan!C12)</f>
        <v>IT04</v>
      </c>
      <c r="D45" s="13" t="str">
        <f>IF(C45="","",Plan!D12)</f>
        <v>Ochrona środowiska</v>
      </c>
      <c r="E45" s="33">
        <f>IF(OR(C45="",Parametry!$G$6=""),"",DATE(Parametry!$G$6,1,1))</f>
        <v>46388</v>
      </c>
      <c r="F45" s="34">
        <f>IF(C45="","",Plan!K12)</f>
        <v>5000</v>
      </c>
      <c r="G45" s="34">
        <f>IF(C45="","",SUMIFS(ERP!$I$9:$I$1008,ERP!$L$9:$L$1008,C45,ERP!$N$9:$N$1008,1,ERP!$M$9:$M$1008,1))</f>
        <v>5000</v>
      </c>
      <c r="H45" s="34">
        <f>IF(C45="","",IF(1&lt;=Parametry!$G$7,0,SUMIFS(Umowy!$N$9:$N$108,Umowy!$D$9:$D$108,C45,Umowy!$O$9:$O$108,1)))</f>
        <v>0</v>
      </c>
      <c r="I45" s="34">
        <f>IF(C45="","",IF(1&lt;=Parametry!$G$7,0,IF(COUNTIFS(Prognoza!$C$9:$C$38,C45)=1,IF(ISBLANK(INDEX(Prognoza!$K$9:$V$38,MATCH($C45,Prognoza!$C$9:$C$38,0),1)),"",IF(ISNUMBER(INDEX(Prognoza!$K$9:$V$38,MATCH($C45,Prognoza!$C$9:$C$38,0),1)),INDEX(Prognoza!$K$9:$V$38,MATCH($C45,Prognoza!$C$9:$C$38,0),1),"")),"")))</f>
        <v>0</v>
      </c>
      <c r="J45" s="35">
        <f>IF(C45="","",IF(Plan!F12="Run",IF(ISNUMBER(INDEX(Parametry!$H$18:$S$18,1,1)),INDEX(Parametry!$H$18:$S$18,1,1),""),IF(ISNUMBER(INDEX(Parametry!$H$24:$S$24,1,1)),INDEX(Parametry!$H$24:$S$24,1,1),"")))</f>
        <v>0</v>
      </c>
      <c r="K45" s="34">
        <f>IF(C45="","",IF(1&lt;=Parametry!$G$7,0,IF(AND(ISNUMBER(I45),ISNUMBER(J45),J45&gt;=-1),I45*(1+J45),"")))</f>
        <v>0</v>
      </c>
      <c r="L45" s="34">
        <f>IF(C45="","",IF(1&lt;=Parametry!$G$7,G45,IF(ISNUMBER(K45),H45+K45,"")))</f>
        <v>5000</v>
      </c>
      <c r="M45" s="22">
        <f t="shared" si="0"/>
        <v>0</v>
      </c>
      <c r="N45" s="7">
        <f t="shared" si="1"/>
        <v>0</v>
      </c>
      <c r="O45" s="7"/>
      <c r="P45" s="7"/>
    </row>
    <row r="46" spans="1:16" ht="24" customHeight="1">
      <c r="A46" s="7"/>
      <c r="B46" s="7"/>
      <c r="C46" s="13" t="str">
        <f>IF(Plan!C12="","",Plan!C12)</f>
        <v>IT04</v>
      </c>
      <c r="D46" s="13" t="str">
        <f>IF(C46="","",Plan!D12)</f>
        <v>Ochrona środowiska</v>
      </c>
      <c r="E46" s="33">
        <f>IF(OR(C46="",Parametry!$G$6=""),"",DATE(Parametry!$G$6,2,1))</f>
        <v>46419</v>
      </c>
      <c r="F46" s="34">
        <f>IF(C46="","",Plan!L12)</f>
        <v>5000</v>
      </c>
      <c r="G46" s="34">
        <f>IF(C46="","",SUMIFS(ERP!$I$9:$I$1008,ERP!$L$9:$L$1008,C46,ERP!$N$9:$N$1008,1,ERP!$M$9:$M$1008,2))</f>
        <v>5000</v>
      </c>
      <c r="H46" s="34">
        <f>IF(C46="","",IF(2&lt;=Parametry!$G$7,0,SUMIFS(Umowy!$N$9:$N$108,Umowy!$D$9:$D$108,C46,Umowy!$O$9:$O$108,2)))</f>
        <v>0</v>
      </c>
      <c r="I46" s="34">
        <f>IF(C46="","",IF(2&lt;=Parametry!$G$7,0,IF(COUNTIFS(Prognoza!$C$9:$C$38,C46)=1,IF(ISBLANK(INDEX(Prognoza!$K$9:$V$38,MATCH($C46,Prognoza!$C$9:$C$38,0),2)),"",IF(ISNUMBER(INDEX(Prognoza!$K$9:$V$38,MATCH($C46,Prognoza!$C$9:$C$38,0),2)),INDEX(Prognoza!$K$9:$V$38,MATCH($C46,Prognoza!$C$9:$C$38,0),2),"")),"")))</f>
        <v>0</v>
      </c>
      <c r="J46" s="35">
        <f>IF(C46="","",IF(Plan!F12="Run",IF(ISNUMBER(INDEX(Parametry!$H$18:$S$18,1,2)),INDEX(Parametry!$H$18:$S$18,1,2),""),IF(ISNUMBER(INDEX(Parametry!$H$24:$S$24,1,2)),INDEX(Parametry!$H$24:$S$24,1,2),"")))</f>
        <v>0</v>
      </c>
      <c r="K46" s="34">
        <f>IF(C46="","",IF(2&lt;=Parametry!$G$7,0,IF(AND(ISNUMBER(I46),ISNUMBER(J46),J46&gt;=-1),I46*(1+J46),"")))</f>
        <v>0</v>
      </c>
      <c r="L46" s="34">
        <f>IF(C46="","",IF(2&lt;=Parametry!$G$7,G46,IF(ISNUMBER(K46),H46+K46,"")))</f>
        <v>5000</v>
      </c>
      <c r="M46" s="22">
        <f t="shared" si="0"/>
        <v>0</v>
      </c>
      <c r="N46" s="7">
        <f t="shared" si="1"/>
        <v>0</v>
      </c>
      <c r="O46" s="7"/>
      <c r="P46" s="7"/>
    </row>
    <row r="47" spans="1:16" ht="24" customHeight="1">
      <c r="A47" s="7"/>
      <c r="B47" s="7"/>
      <c r="C47" s="13" t="str">
        <f>IF(Plan!C12="","",Plan!C12)</f>
        <v>IT04</v>
      </c>
      <c r="D47" s="13" t="str">
        <f>IF(C47="","",Plan!D12)</f>
        <v>Ochrona środowiska</v>
      </c>
      <c r="E47" s="33">
        <f>IF(OR(C47="",Parametry!$G$6=""),"",DATE(Parametry!$G$6,3,1))</f>
        <v>46447</v>
      </c>
      <c r="F47" s="34">
        <f>IF(C47="","",Plan!M12)</f>
        <v>5000</v>
      </c>
      <c r="G47" s="34">
        <f>IF(C47="","",SUMIFS(ERP!$I$9:$I$1008,ERP!$L$9:$L$1008,C47,ERP!$N$9:$N$1008,1,ERP!$M$9:$M$1008,3))</f>
        <v>5000</v>
      </c>
      <c r="H47" s="34">
        <f>IF(C47="","",IF(3&lt;=Parametry!$G$7,0,SUMIFS(Umowy!$N$9:$N$108,Umowy!$D$9:$D$108,C47,Umowy!$O$9:$O$108,3)))</f>
        <v>0</v>
      </c>
      <c r="I47" s="34">
        <f>IF(C47="","",IF(3&lt;=Parametry!$G$7,0,IF(COUNTIFS(Prognoza!$C$9:$C$38,C47)=1,IF(ISBLANK(INDEX(Prognoza!$K$9:$V$38,MATCH($C47,Prognoza!$C$9:$C$38,0),3)),"",IF(ISNUMBER(INDEX(Prognoza!$K$9:$V$38,MATCH($C47,Prognoza!$C$9:$C$38,0),3)),INDEX(Prognoza!$K$9:$V$38,MATCH($C47,Prognoza!$C$9:$C$38,0),3),"")),"")))</f>
        <v>0</v>
      </c>
      <c r="J47" s="35">
        <f>IF(C47="","",IF(Plan!F12="Run",IF(ISNUMBER(INDEX(Parametry!$H$18:$S$18,1,3)),INDEX(Parametry!$H$18:$S$18,1,3),""),IF(ISNUMBER(INDEX(Parametry!$H$24:$S$24,1,3)),INDEX(Parametry!$H$24:$S$24,1,3),"")))</f>
        <v>0</v>
      </c>
      <c r="K47" s="34">
        <f>IF(C47="","",IF(3&lt;=Parametry!$G$7,0,IF(AND(ISNUMBER(I47),ISNUMBER(J47),J47&gt;=-1),I47*(1+J47),"")))</f>
        <v>0</v>
      </c>
      <c r="L47" s="34">
        <f>IF(C47="","",IF(3&lt;=Parametry!$G$7,G47,IF(ISNUMBER(K47),H47+K47,"")))</f>
        <v>5000</v>
      </c>
      <c r="M47" s="22">
        <f t="shared" si="0"/>
        <v>0</v>
      </c>
      <c r="N47" s="7">
        <f t="shared" si="1"/>
        <v>0</v>
      </c>
      <c r="O47" s="7"/>
      <c r="P47" s="7"/>
    </row>
    <row r="48" spans="1:16" ht="24" customHeight="1">
      <c r="A48" s="7"/>
      <c r="B48" s="7"/>
      <c r="C48" s="13" t="str">
        <f>IF(Plan!C12="","",Plan!C12)</f>
        <v>IT04</v>
      </c>
      <c r="D48" s="13" t="str">
        <f>IF(C48="","",Plan!D12)</f>
        <v>Ochrona środowiska</v>
      </c>
      <c r="E48" s="33">
        <f>IF(OR(C48="",Parametry!$G$6=""),"",DATE(Parametry!$G$6,4,1))</f>
        <v>46478</v>
      </c>
      <c r="F48" s="34">
        <f>IF(C48="","",Plan!N12)</f>
        <v>5000</v>
      </c>
      <c r="G48" s="34">
        <f>IF(C48="","",SUMIFS(ERP!$I$9:$I$1008,ERP!$L$9:$L$1008,C48,ERP!$N$9:$N$1008,1,ERP!$M$9:$M$1008,4))</f>
        <v>5000</v>
      </c>
      <c r="H48" s="34">
        <f>IF(C48="","",IF(4&lt;=Parametry!$G$7,0,SUMIFS(Umowy!$N$9:$N$108,Umowy!$D$9:$D$108,C48,Umowy!$O$9:$O$108,4)))</f>
        <v>0</v>
      </c>
      <c r="I48" s="34">
        <f>IF(C48="","",IF(4&lt;=Parametry!$G$7,0,IF(COUNTIFS(Prognoza!$C$9:$C$38,C48)=1,IF(ISBLANK(INDEX(Prognoza!$K$9:$V$38,MATCH($C48,Prognoza!$C$9:$C$38,0),4)),"",IF(ISNUMBER(INDEX(Prognoza!$K$9:$V$38,MATCH($C48,Prognoza!$C$9:$C$38,0),4)),INDEX(Prognoza!$K$9:$V$38,MATCH($C48,Prognoza!$C$9:$C$38,0),4),"")),"")))</f>
        <v>0</v>
      </c>
      <c r="J48" s="35">
        <f>IF(C48="","",IF(Plan!F12="Run",IF(ISNUMBER(INDEX(Parametry!$H$18:$S$18,1,4)),INDEX(Parametry!$H$18:$S$18,1,4),""),IF(ISNUMBER(INDEX(Parametry!$H$24:$S$24,1,4)),INDEX(Parametry!$H$24:$S$24,1,4),"")))</f>
        <v>0</v>
      </c>
      <c r="K48" s="34">
        <f>IF(C48="","",IF(4&lt;=Parametry!$G$7,0,IF(AND(ISNUMBER(I48),ISNUMBER(J48),J48&gt;=-1),I48*(1+J48),"")))</f>
        <v>0</v>
      </c>
      <c r="L48" s="34">
        <f>IF(C48="","",IF(4&lt;=Parametry!$G$7,G48,IF(ISNUMBER(K48),H48+K48,"")))</f>
        <v>5000</v>
      </c>
      <c r="M48" s="22">
        <f t="shared" si="0"/>
        <v>0</v>
      </c>
      <c r="N48" s="7">
        <f t="shared" si="1"/>
        <v>0</v>
      </c>
      <c r="O48" s="7"/>
      <c r="P48" s="7"/>
    </row>
    <row r="49" spans="1:16" ht="24" customHeight="1">
      <c r="A49" s="7"/>
      <c r="B49" s="7"/>
      <c r="C49" s="13" t="str">
        <f>IF(Plan!C12="","",Plan!C12)</f>
        <v>IT04</v>
      </c>
      <c r="D49" s="13" t="str">
        <f>IF(C49="","",Plan!D12)</f>
        <v>Ochrona środowiska</v>
      </c>
      <c r="E49" s="33">
        <f>IF(OR(C49="",Parametry!$G$6=""),"",DATE(Parametry!$G$6,5,1))</f>
        <v>46508</v>
      </c>
      <c r="F49" s="34">
        <f>IF(C49="","",Plan!O12)</f>
        <v>5000</v>
      </c>
      <c r="G49" s="34">
        <f>IF(C49="","",SUMIFS(ERP!$I$9:$I$1008,ERP!$L$9:$L$1008,C49,ERP!$N$9:$N$1008,1,ERP!$M$9:$M$1008,5))</f>
        <v>5000</v>
      </c>
      <c r="H49" s="34">
        <f>IF(C49="","",IF(5&lt;=Parametry!$G$7,0,SUMIFS(Umowy!$N$9:$N$108,Umowy!$D$9:$D$108,C49,Umowy!$O$9:$O$108,5)))</f>
        <v>0</v>
      </c>
      <c r="I49" s="34">
        <f>IF(C49="","",IF(5&lt;=Parametry!$G$7,0,IF(COUNTIFS(Prognoza!$C$9:$C$38,C49)=1,IF(ISBLANK(INDEX(Prognoza!$K$9:$V$38,MATCH($C49,Prognoza!$C$9:$C$38,0),5)),"",IF(ISNUMBER(INDEX(Prognoza!$K$9:$V$38,MATCH($C49,Prognoza!$C$9:$C$38,0),5)),INDEX(Prognoza!$K$9:$V$38,MATCH($C49,Prognoza!$C$9:$C$38,0),5),"")),"")))</f>
        <v>0</v>
      </c>
      <c r="J49" s="35">
        <f>IF(C49="","",IF(Plan!F12="Run",IF(ISNUMBER(INDEX(Parametry!$H$18:$S$18,1,5)),INDEX(Parametry!$H$18:$S$18,1,5),""),IF(ISNUMBER(INDEX(Parametry!$H$24:$S$24,1,5)),INDEX(Parametry!$H$24:$S$24,1,5),"")))</f>
        <v>0</v>
      </c>
      <c r="K49" s="34">
        <f>IF(C49="","",IF(5&lt;=Parametry!$G$7,0,IF(AND(ISNUMBER(I49),ISNUMBER(J49),J49&gt;=-1),I49*(1+J49),"")))</f>
        <v>0</v>
      </c>
      <c r="L49" s="34">
        <f>IF(C49="","",IF(5&lt;=Parametry!$G$7,G49,IF(ISNUMBER(K49),H49+K49,"")))</f>
        <v>5000</v>
      </c>
      <c r="M49" s="22">
        <f t="shared" si="0"/>
        <v>0</v>
      </c>
      <c r="N49" s="7">
        <f t="shared" si="1"/>
        <v>0</v>
      </c>
      <c r="O49" s="7"/>
      <c r="P49" s="7"/>
    </row>
    <row r="50" spans="1:16" ht="24" customHeight="1">
      <c r="A50" s="7"/>
      <c r="B50" s="7"/>
      <c r="C50" s="13" t="str">
        <f>IF(Plan!C12="","",Plan!C12)</f>
        <v>IT04</v>
      </c>
      <c r="D50" s="13" t="str">
        <f>IF(C50="","",Plan!D12)</f>
        <v>Ochrona środowiska</v>
      </c>
      <c r="E50" s="33">
        <f>IF(OR(C50="",Parametry!$G$6=""),"",DATE(Parametry!$G$6,6,1))</f>
        <v>46539</v>
      </c>
      <c r="F50" s="34">
        <f>IF(C50="","",Plan!P12)</f>
        <v>5000</v>
      </c>
      <c r="G50" s="34">
        <f>IF(C50="","",SUMIFS(ERP!$I$9:$I$1008,ERP!$L$9:$L$1008,C50,ERP!$N$9:$N$1008,1,ERP!$M$9:$M$1008,6))</f>
        <v>5000</v>
      </c>
      <c r="H50" s="34">
        <f>IF(C50="","",IF(6&lt;=Parametry!$G$7,0,SUMIFS(Umowy!$N$9:$N$108,Umowy!$D$9:$D$108,C50,Umowy!$O$9:$O$108,6)))</f>
        <v>0</v>
      </c>
      <c r="I50" s="34">
        <f>IF(C50="","",IF(6&lt;=Parametry!$G$7,0,IF(COUNTIFS(Prognoza!$C$9:$C$38,C50)=1,IF(ISBLANK(INDEX(Prognoza!$K$9:$V$38,MATCH($C50,Prognoza!$C$9:$C$38,0),6)),"",IF(ISNUMBER(INDEX(Prognoza!$K$9:$V$38,MATCH($C50,Prognoza!$C$9:$C$38,0),6)),INDEX(Prognoza!$K$9:$V$38,MATCH($C50,Prognoza!$C$9:$C$38,0),6),"")),"")))</f>
        <v>0</v>
      </c>
      <c r="J50" s="35">
        <f>IF(C50="","",IF(Plan!F12="Run",IF(ISNUMBER(INDEX(Parametry!$H$18:$S$18,1,6)),INDEX(Parametry!$H$18:$S$18,1,6),""),IF(ISNUMBER(INDEX(Parametry!$H$24:$S$24,1,6)),INDEX(Parametry!$H$24:$S$24,1,6),"")))</f>
        <v>0</v>
      </c>
      <c r="K50" s="34">
        <f>IF(C50="","",IF(6&lt;=Parametry!$G$7,0,IF(AND(ISNUMBER(I50),ISNUMBER(J50),J50&gt;=-1),I50*(1+J50),"")))</f>
        <v>0</v>
      </c>
      <c r="L50" s="34">
        <f>IF(C50="","",IF(6&lt;=Parametry!$G$7,G50,IF(ISNUMBER(K50),H50+K50,"")))</f>
        <v>5000</v>
      </c>
      <c r="M50" s="22">
        <f t="shared" si="0"/>
        <v>0</v>
      </c>
      <c r="N50" s="7">
        <f t="shared" si="1"/>
        <v>0</v>
      </c>
      <c r="O50" s="7"/>
      <c r="P50" s="7"/>
    </row>
    <row r="51" spans="1:16" ht="24" customHeight="1">
      <c r="A51" s="7"/>
      <c r="B51" s="7"/>
      <c r="C51" s="13" t="str">
        <f>IF(Plan!C12="","",Plan!C12)</f>
        <v>IT04</v>
      </c>
      <c r="D51" s="13" t="str">
        <f>IF(C51="","",Plan!D12)</f>
        <v>Ochrona środowiska</v>
      </c>
      <c r="E51" s="33">
        <f>IF(OR(C51="",Parametry!$G$6=""),"",DATE(Parametry!$G$6,7,1))</f>
        <v>46569</v>
      </c>
      <c r="F51" s="34">
        <f>IF(C51="","",Plan!Q12)</f>
        <v>5000</v>
      </c>
      <c r="G51" s="34">
        <f>IF(C51="","",SUMIFS(ERP!$I$9:$I$1008,ERP!$L$9:$L$1008,C51,ERP!$N$9:$N$1008,1,ERP!$M$9:$M$1008,7))</f>
        <v>0</v>
      </c>
      <c r="H51" s="34">
        <f>IF(C51="","",IF(7&lt;=Parametry!$G$7,0,SUMIFS(Umowy!$N$9:$N$108,Umowy!$D$9:$D$108,C51,Umowy!$O$9:$O$108,7)))</f>
        <v>5000</v>
      </c>
      <c r="I51" s="34">
        <f>IF(C51="","",IF(7&lt;=Parametry!$G$7,0,IF(COUNTIFS(Prognoza!$C$9:$C$38,C51)=1,IF(ISBLANK(INDEX(Prognoza!$K$9:$V$38,MATCH($C51,Prognoza!$C$9:$C$38,0),7)),"",IF(ISNUMBER(INDEX(Prognoza!$K$9:$V$38,MATCH($C51,Prognoza!$C$9:$C$38,0),7)),INDEX(Prognoza!$K$9:$V$38,MATCH($C51,Prognoza!$C$9:$C$38,0),7),"")),"")))</f>
        <v>0</v>
      </c>
      <c r="J51" s="35">
        <f>IF(C51="","",IF(Plan!F12="Run",IF(ISNUMBER(INDEX(Parametry!$H$18:$S$18,1,7)),INDEX(Parametry!$H$18:$S$18,1,7),""),IF(ISNUMBER(INDEX(Parametry!$H$24:$S$24,1,7)),INDEX(Parametry!$H$24:$S$24,1,7),"")))</f>
        <v>0</v>
      </c>
      <c r="K51" s="34">
        <f>IF(C51="","",IF(7&lt;=Parametry!$G$7,0,IF(AND(ISNUMBER(I51),ISNUMBER(J51),J51&gt;=-1),I51*(1+J51),"")))</f>
        <v>0</v>
      </c>
      <c r="L51" s="34">
        <f>IF(C51="","",IF(7&lt;=Parametry!$G$7,G51,IF(ISNUMBER(K51),H51+K51,"")))</f>
        <v>5000</v>
      </c>
      <c r="M51" s="22">
        <f t="shared" si="0"/>
        <v>0</v>
      </c>
      <c r="N51" s="7">
        <f t="shared" si="1"/>
        <v>0</v>
      </c>
      <c r="O51" s="7"/>
      <c r="P51" s="7"/>
    </row>
    <row r="52" spans="1:16" ht="24" customHeight="1">
      <c r="A52" s="7"/>
      <c r="B52" s="7"/>
      <c r="C52" s="13" t="str">
        <f>IF(Plan!C12="","",Plan!C12)</f>
        <v>IT04</v>
      </c>
      <c r="D52" s="13" t="str">
        <f>IF(C52="","",Plan!D12)</f>
        <v>Ochrona środowiska</v>
      </c>
      <c r="E52" s="33">
        <f>IF(OR(C52="",Parametry!$G$6=""),"",DATE(Parametry!$G$6,8,1))</f>
        <v>46600</v>
      </c>
      <c r="F52" s="34">
        <f>IF(C52="","",Plan!R12)</f>
        <v>5000</v>
      </c>
      <c r="G52" s="34">
        <f>IF(C52="","",SUMIFS(ERP!$I$9:$I$1008,ERP!$L$9:$L$1008,C52,ERP!$N$9:$N$1008,1,ERP!$M$9:$M$1008,8))</f>
        <v>0</v>
      </c>
      <c r="H52" s="34">
        <f>IF(C52="","",IF(8&lt;=Parametry!$G$7,0,SUMIFS(Umowy!$N$9:$N$108,Umowy!$D$9:$D$108,C52,Umowy!$O$9:$O$108,8)))</f>
        <v>5000</v>
      </c>
      <c r="I52" s="34">
        <f>IF(C52="","",IF(8&lt;=Parametry!$G$7,0,IF(COUNTIFS(Prognoza!$C$9:$C$38,C52)=1,IF(ISBLANK(INDEX(Prognoza!$K$9:$V$38,MATCH($C52,Prognoza!$C$9:$C$38,0),8)),"",IF(ISNUMBER(INDEX(Prognoza!$K$9:$V$38,MATCH($C52,Prognoza!$C$9:$C$38,0),8)),INDEX(Prognoza!$K$9:$V$38,MATCH($C52,Prognoza!$C$9:$C$38,0),8),"")),"")))</f>
        <v>0</v>
      </c>
      <c r="J52" s="35">
        <f>IF(C52="","",IF(Plan!F12="Run",IF(ISNUMBER(INDEX(Parametry!$H$18:$S$18,1,8)),INDEX(Parametry!$H$18:$S$18,1,8),""),IF(ISNUMBER(INDEX(Parametry!$H$24:$S$24,1,8)),INDEX(Parametry!$H$24:$S$24,1,8),"")))</f>
        <v>0</v>
      </c>
      <c r="K52" s="34">
        <f>IF(C52="","",IF(8&lt;=Parametry!$G$7,0,IF(AND(ISNUMBER(I52),ISNUMBER(J52),J52&gt;=-1),I52*(1+J52),"")))</f>
        <v>0</v>
      </c>
      <c r="L52" s="34">
        <f>IF(C52="","",IF(8&lt;=Parametry!$G$7,G52,IF(ISNUMBER(K52),H52+K52,"")))</f>
        <v>5000</v>
      </c>
      <c r="M52" s="22">
        <f t="shared" si="0"/>
        <v>0</v>
      </c>
      <c r="N52" s="7">
        <f t="shared" si="1"/>
        <v>0</v>
      </c>
      <c r="O52" s="7"/>
      <c r="P52" s="7"/>
    </row>
    <row r="53" spans="1:16" ht="24" customHeight="1">
      <c r="A53" s="7"/>
      <c r="B53" s="7"/>
      <c r="C53" s="13" t="str">
        <f>IF(Plan!C12="","",Plan!C12)</f>
        <v>IT04</v>
      </c>
      <c r="D53" s="13" t="str">
        <f>IF(C53="","",Plan!D12)</f>
        <v>Ochrona środowiska</v>
      </c>
      <c r="E53" s="33">
        <f>IF(OR(C53="",Parametry!$G$6=""),"",DATE(Parametry!$G$6,9,1))</f>
        <v>46631</v>
      </c>
      <c r="F53" s="34">
        <f>IF(C53="","",Plan!S12)</f>
        <v>5000</v>
      </c>
      <c r="G53" s="34">
        <f>IF(C53="","",SUMIFS(ERP!$I$9:$I$1008,ERP!$L$9:$L$1008,C53,ERP!$N$9:$N$1008,1,ERP!$M$9:$M$1008,9))</f>
        <v>0</v>
      </c>
      <c r="H53" s="34">
        <f>IF(C53="","",IF(9&lt;=Parametry!$G$7,0,SUMIFS(Umowy!$N$9:$N$108,Umowy!$D$9:$D$108,C53,Umowy!$O$9:$O$108,9)))</f>
        <v>5000</v>
      </c>
      <c r="I53" s="34">
        <f>IF(C53="","",IF(9&lt;=Parametry!$G$7,0,IF(COUNTIFS(Prognoza!$C$9:$C$38,C53)=1,IF(ISBLANK(INDEX(Prognoza!$K$9:$V$38,MATCH($C53,Prognoza!$C$9:$C$38,0),9)),"",IF(ISNUMBER(INDEX(Prognoza!$K$9:$V$38,MATCH($C53,Prognoza!$C$9:$C$38,0),9)),INDEX(Prognoza!$K$9:$V$38,MATCH($C53,Prognoza!$C$9:$C$38,0),9),"")),"")))</f>
        <v>0</v>
      </c>
      <c r="J53" s="35">
        <f>IF(C53="","",IF(Plan!F12="Run",IF(ISNUMBER(INDEX(Parametry!$H$18:$S$18,1,9)),INDEX(Parametry!$H$18:$S$18,1,9),""),IF(ISNUMBER(INDEX(Parametry!$H$24:$S$24,1,9)),INDEX(Parametry!$H$24:$S$24,1,9),"")))</f>
        <v>0</v>
      </c>
      <c r="K53" s="34">
        <f>IF(C53="","",IF(9&lt;=Parametry!$G$7,0,IF(AND(ISNUMBER(I53),ISNUMBER(J53),J53&gt;=-1),I53*(1+J53),"")))</f>
        <v>0</v>
      </c>
      <c r="L53" s="34">
        <f>IF(C53="","",IF(9&lt;=Parametry!$G$7,G53,IF(ISNUMBER(K53),H53+K53,"")))</f>
        <v>5000</v>
      </c>
      <c r="M53" s="22">
        <f t="shared" si="0"/>
        <v>0</v>
      </c>
      <c r="N53" s="7">
        <f t="shared" si="1"/>
        <v>0</v>
      </c>
      <c r="O53" s="7"/>
      <c r="P53" s="7"/>
    </row>
    <row r="54" spans="1:16" ht="24" customHeight="1">
      <c r="A54" s="7"/>
      <c r="B54" s="7"/>
      <c r="C54" s="13" t="str">
        <f>IF(Plan!C12="","",Plan!C12)</f>
        <v>IT04</v>
      </c>
      <c r="D54" s="13" t="str">
        <f>IF(C54="","",Plan!D12)</f>
        <v>Ochrona środowiska</v>
      </c>
      <c r="E54" s="33">
        <f>IF(OR(C54="",Parametry!$G$6=""),"",DATE(Parametry!$G$6,10,1))</f>
        <v>46661</v>
      </c>
      <c r="F54" s="34">
        <f>IF(C54="","",Plan!T12)</f>
        <v>5000</v>
      </c>
      <c r="G54" s="34">
        <f>IF(C54="","",SUMIFS(ERP!$I$9:$I$1008,ERP!$L$9:$L$1008,C54,ERP!$N$9:$N$1008,1,ERP!$M$9:$M$1008,10))</f>
        <v>0</v>
      </c>
      <c r="H54" s="34">
        <f>IF(C54="","",IF(10&lt;=Parametry!$G$7,0,SUMIFS(Umowy!$N$9:$N$108,Umowy!$D$9:$D$108,C54,Umowy!$O$9:$O$108,10)))</f>
        <v>5000</v>
      </c>
      <c r="I54" s="34">
        <f>IF(C54="","",IF(10&lt;=Parametry!$G$7,0,IF(COUNTIFS(Prognoza!$C$9:$C$38,C54)=1,IF(ISBLANK(INDEX(Prognoza!$K$9:$V$38,MATCH($C54,Prognoza!$C$9:$C$38,0),10)),"",IF(ISNUMBER(INDEX(Prognoza!$K$9:$V$38,MATCH($C54,Prognoza!$C$9:$C$38,0),10)),INDEX(Prognoza!$K$9:$V$38,MATCH($C54,Prognoza!$C$9:$C$38,0),10),"")),"")))</f>
        <v>0</v>
      </c>
      <c r="J54" s="35">
        <f>IF(C54="","",IF(Plan!F12="Run",IF(ISNUMBER(INDEX(Parametry!$H$18:$S$18,1,10)),INDEX(Parametry!$H$18:$S$18,1,10),""),IF(ISNUMBER(INDEX(Parametry!$H$24:$S$24,1,10)),INDEX(Parametry!$H$24:$S$24,1,10),"")))</f>
        <v>0</v>
      </c>
      <c r="K54" s="34">
        <f>IF(C54="","",IF(10&lt;=Parametry!$G$7,0,IF(AND(ISNUMBER(I54),ISNUMBER(J54),J54&gt;=-1),I54*(1+J54),"")))</f>
        <v>0</v>
      </c>
      <c r="L54" s="34">
        <f>IF(C54="","",IF(10&lt;=Parametry!$G$7,G54,IF(ISNUMBER(K54),H54+K54,"")))</f>
        <v>5000</v>
      </c>
      <c r="M54" s="22">
        <f t="shared" si="0"/>
        <v>0</v>
      </c>
      <c r="N54" s="7">
        <f t="shared" si="1"/>
        <v>0</v>
      </c>
      <c r="O54" s="7"/>
      <c r="P54" s="7"/>
    </row>
    <row r="55" spans="1:16" ht="24" customHeight="1">
      <c r="A55" s="7"/>
      <c r="B55" s="7"/>
      <c r="C55" s="13" t="str">
        <f>IF(Plan!C12="","",Plan!C12)</f>
        <v>IT04</v>
      </c>
      <c r="D55" s="13" t="str">
        <f>IF(C55="","",Plan!D12)</f>
        <v>Ochrona środowiska</v>
      </c>
      <c r="E55" s="33">
        <f>IF(OR(C55="",Parametry!$G$6=""),"",DATE(Parametry!$G$6,11,1))</f>
        <v>46692</v>
      </c>
      <c r="F55" s="34">
        <f>IF(C55="","",Plan!U12)</f>
        <v>5000</v>
      </c>
      <c r="G55" s="34">
        <f>IF(C55="","",SUMIFS(ERP!$I$9:$I$1008,ERP!$L$9:$L$1008,C55,ERP!$N$9:$N$1008,1,ERP!$M$9:$M$1008,11))</f>
        <v>0</v>
      </c>
      <c r="H55" s="34">
        <f>IF(C55="","",IF(11&lt;=Parametry!$G$7,0,SUMIFS(Umowy!$N$9:$N$108,Umowy!$D$9:$D$108,C55,Umowy!$O$9:$O$108,11)))</f>
        <v>5000</v>
      </c>
      <c r="I55" s="34">
        <f>IF(C55="","",IF(11&lt;=Parametry!$G$7,0,IF(COUNTIFS(Prognoza!$C$9:$C$38,C55)=1,IF(ISBLANK(INDEX(Prognoza!$K$9:$V$38,MATCH($C55,Prognoza!$C$9:$C$38,0),11)),"",IF(ISNUMBER(INDEX(Prognoza!$K$9:$V$38,MATCH($C55,Prognoza!$C$9:$C$38,0),11)),INDEX(Prognoza!$K$9:$V$38,MATCH($C55,Prognoza!$C$9:$C$38,0),11),"")),"")))</f>
        <v>0</v>
      </c>
      <c r="J55" s="35">
        <f>IF(C55="","",IF(Plan!F12="Run",IF(ISNUMBER(INDEX(Parametry!$H$18:$S$18,1,11)),INDEX(Parametry!$H$18:$S$18,1,11),""),IF(ISNUMBER(INDEX(Parametry!$H$24:$S$24,1,11)),INDEX(Parametry!$H$24:$S$24,1,11),"")))</f>
        <v>0</v>
      </c>
      <c r="K55" s="34">
        <f>IF(C55="","",IF(11&lt;=Parametry!$G$7,0,IF(AND(ISNUMBER(I55),ISNUMBER(J55),J55&gt;=-1),I55*(1+J55),"")))</f>
        <v>0</v>
      </c>
      <c r="L55" s="34">
        <f>IF(C55="","",IF(11&lt;=Parametry!$G$7,G55,IF(ISNUMBER(K55),H55+K55,"")))</f>
        <v>5000</v>
      </c>
      <c r="M55" s="22">
        <f t="shared" si="0"/>
        <v>0</v>
      </c>
      <c r="N55" s="7">
        <f t="shared" si="1"/>
        <v>0</v>
      </c>
      <c r="O55" s="7"/>
      <c r="P55" s="7"/>
    </row>
    <row r="56" spans="1:16" ht="24" customHeight="1">
      <c r="A56" s="7"/>
      <c r="B56" s="7"/>
      <c r="C56" s="13" t="str">
        <f>IF(Plan!C12="","",Plan!C12)</f>
        <v>IT04</v>
      </c>
      <c r="D56" s="13" t="str">
        <f>IF(C56="","",Plan!D12)</f>
        <v>Ochrona środowiska</v>
      </c>
      <c r="E56" s="33">
        <f>IF(OR(C56="",Parametry!$G$6=""),"",DATE(Parametry!$G$6,12,1))</f>
        <v>46722</v>
      </c>
      <c r="F56" s="34">
        <f>IF(C56="","",Plan!V12)</f>
        <v>5000</v>
      </c>
      <c r="G56" s="34">
        <f>IF(C56="","",SUMIFS(ERP!$I$9:$I$1008,ERP!$L$9:$L$1008,C56,ERP!$N$9:$N$1008,1,ERP!$M$9:$M$1008,12))</f>
        <v>0</v>
      </c>
      <c r="H56" s="34">
        <f>IF(C56="","",IF(12&lt;=Parametry!$G$7,0,SUMIFS(Umowy!$N$9:$N$108,Umowy!$D$9:$D$108,C56,Umowy!$O$9:$O$108,12)))</f>
        <v>5000</v>
      </c>
      <c r="I56" s="34">
        <f>IF(C56="","",IF(12&lt;=Parametry!$G$7,0,IF(COUNTIFS(Prognoza!$C$9:$C$38,C56)=1,IF(ISBLANK(INDEX(Prognoza!$K$9:$V$38,MATCH($C56,Prognoza!$C$9:$C$38,0),12)),"",IF(ISNUMBER(INDEX(Prognoza!$K$9:$V$38,MATCH($C56,Prognoza!$C$9:$C$38,0),12)),INDEX(Prognoza!$K$9:$V$38,MATCH($C56,Prognoza!$C$9:$C$38,0),12),"")),"")))</f>
        <v>0</v>
      </c>
      <c r="J56" s="35">
        <f>IF(C56="","",IF(Plan!F12="Run",IF(ISNUMBER(INDEX(Parametry!$H$18:$S$18,1,12)),INDEX(Parametry!$H$18:$S$18,1,12),""),IF(ISNUMBER(INDEX(Parametry!$H$24:$S$24,1,12)),INDEX(Parametry!$H$24:$S$24,1,12),"")))</f>
        <v>0</v>
      </c>
      <c r="K56" s="34">
        <f>IF(C56="","",IF(12&lt;=Parametry!$G$7,0,IF(AND(ISNUMBER(I56),ISNUMBER(J56),J56&gt;=-1),I56*(1+J56),"")))</f>
        <v>0</v>
      </c>
      <c r="L56" s="34">
        <f>IF(C56="","",IF(12&lt;=Parametry!$G$7,G56,IF(ISNUMBER(K56),H56+K56,"")))</f>
        <v>5000</v>
      </c>
      <c r="M56" s="22">
        <f t="shared" si="0"/>
        <v>0</v>
      </c>
      <c r="N56" s="7">
        <f t="shared" si="1"/>
        <v>0</v>
      </c>
      <c r="O56" s="7"/>
      <c r="P56" s="7"/>
    </row>
    <row r="57" spans="1:16" ht="24" customHeight="1">
      <c r="A57" s="7"/>
      <c r="B57" s="7"/>
      <c r="C57" s="13" t="str">
        <f>IF(Plan!C13="","",Plan!C13)</f>
        <v>IT05</v>
      </c>
      <c r="D57" s="13" t="str">
        <f>IF(C57="","",Plan!D13)</f>
        <v>Odświeżenie sieci</v>
      </c>
      <c r="E57" s="33">
        <f>IF(OR(C57="",Parametry!$G$6=""),"",DATE(Parametry!$G$6,1,1))</f>
        <v>46388</v>
      </c>
      <c r="F57" s="34">
        <f>IF(C57="","",Plan!K13)</f>
        <v>0</v>
      </c>
      <c r="G57" s="34">
        <f>IF(C57="","",SUMIFS(ERP!$I$9:$I$1008,ERP!$L$9:$L$1008,C57,ERP!$N$9:$N$1008,1,ERP!$M$9:$M$1008,1))</f>
        <v>0</v>
      </c>
      <c r="H57" s="34">
        <f>IF(C57="","",IF(1&lt;=Parametry!$G$7,0,SUMIFS(Umowy!$N$9:$N$108,Umowy!$D$9:$D$108,C57,Umowy!$O$9:$O$108,1)))</f>
        <v>0</v>
      </c>
      <c r="I57" s="34">
        <f>IF(C57="","",IF(1&lt;=Parametry!$G$7,0,IF(COUNTIFS(Prognoza!$C$9:$C$38,C57)=1,IF(ISBLANK(INDEX(Prognoza!$K$9:$V$38,MATCH($C57,Prognoza!$C$9:$C$38,0),1)),"",IF(ISNUMBER(INDEX(Prognoza!$K$9:$V$38,MATCH($C57,Prognoza!$C$9:$C$38,0),1)),INDEX(Prognoza!$K$9:$V$38,MATCH($C57,Prognoza!$C$9:$C$38,0),1),"")),"")))</f>
        <v>0</v>
      </c>
      <c r="J57" s="35">
        <f>IF(C57="","",IF(Plan!F13="Run",IF(ISNUMBER(INDEX(Parametry!$H$18:$S$18,1,1)),INDEX(Parametry!$H$18:$S$18,1,1),""),IF(ISNUMBER(INDEX(Parametry!$H$24:$S$24,1,1)),INDEX(Parametry!$H$24:$S$24,1,1),"")))</f>
        <v>0</v>
      </c>
      <c r="K57" s="34">
        <f>IF(C57="","",IF(1&lt;=Parametry!$G$7,0,IF(AND(ISNUMBER(I57),ISNUMBER(J57),J57&gt;=-1),I57*(1+J57),"")))</f>
        <v>0</v>
      </c>
      <c r="L57" s="34">
        <f>IF(C57="","",IF(1&lt;=Parametry!$G$7,G57,IF(ISNUMBER(K57),H57+K57,"")))</f>
        <v>0</v>
      </c>
      <c r="M57" s="22">
        <f t="shared" si="0"/>
        <v>0</v>
      </c>
      <c r="N57" s="7">
        <f t="shared" si="1"/>
        <v>0</v>
      </c>
      <c r="O57" s="7"/>
      <c r="P57" s="7"/>
    </row>
    <row r="58" spans="1:16" ht="24" customHeight="1">
      <c r="A58" s="7"/>
      <c r="B58" s="7"/>
      <c r="C58" s="13" t="str">
        <f>IF(Plan!C13="","",Plan!C13)</f>
        <v>IT05</v>
      </c>
      <c r="D58" s="13" t="str">
        <f>IF(C58="","",Plan!D13)</f>
        <v>Odświeżenie sieci</v>
      </c>
      <c r="E58" s="33">
        <f>IF(OR(C58="",Parametry!$G$6=""),"",DATE(Parametry!$G$6,2,1))</f>
        <v>46419</v>
      </c>
      <c r="F58" s="34">
        <f>IF(C58="","",Plan!L13)</f>
        <v>0</v>
      </c>
      <c r="G58" s="34">
        <f>IF(C58="","",SUMIFS(ERP!$I$9:$I$1008,ERP!$L$9:$L$1008,C58,ERP!$N$9:$N$1008,1,ERP!$M$9:$M$1008,2))</f>
        <v>0</v>
      </c>
      <c r="H58" s="34">
        <f>IF(C58="","",IF(2&lt;=Parametry!$G$7,0,SUMIFS(Umowy!$N$9:$N$108,Umowy!$D$9:$D$108,C58,Umowy!$O$9:$O$108,2)))</f>
        <v>0</v>
      </c>
      <c r="I58" s="34">
        <f>IF(C58="","",IF(2&lt;=Parametry!$G$7,0,IF(COUNTIFS(Prognoza!$C$9:$C$38,C58)=1,IF(ISBLANK(INDEX(Prognoza!$K$9:$V$38,MATCH($C58,Prognoza!$C$9:$C$38,0),2)),"",IF(ISNUMBER(INDEX(Prognoza!$K$9:$V$38,MATCH($C58,Prognoza!$C$9:$C$38,0),2)),INDEX(Prognoza!$K$9:$V$38,MATCH($C58,Prognoza!$C$9:$C$38,0),2),"")),"")))</f>
        <v>0</v>
      </c>
      <c r="J58" s="35">
        <f>IF(C58="","",IF(Plan!F13="Run",IF(ISNUMBER(INDEX(Parametry!$H$18:$S$18,1,2)),INDEX(Parametry!$H$18:$S$18,1,2),""),IF(ISNUMBER(INDEX(Parametry!$H$24:$S$24,1,2)),INDEX(Parametry!$H$24:$S$24,1,2),"")))</f>
        <v>0</v>
      </c>
      <c r="K58" s="34">
        <f>IF(C58="","",IF(2&lt;=Parametry!$G$7,0,IF(AND(ISNUMBER(I58),ISNUMBER(J58),J58&gt;=-1),I58*(1+J58),"")))</f>
        <v>0</v>
      </c>
      <c r="L58" s="34">
        <f>IF(C58="","",IF(2&lt;=Parametry!$G$7,G58,IF(ISNUMBER(K58),H58+K58,"")))</f>
        <v>0</v>
      </c>
      <c r="M58" s="22">
        <f t="shared" si="0"/>
        <v>0</v>
      </c>
      <c r="N58" s="7">
        <f t="shared" si="1"/>
        <v>0</v>
      </c>
      <c r="O58" s="7"/>
      <c r="P58" s="7"/>
    </row>
    <row r="59" spans="1:16" ht="24" customHeight="1">
      <c r="A59" s="7"/>
      <c r="B59" s="7"/>
      <c r="C59" s="13" t="str">
        <f>IF(Plan!C13="","",Plan!C13)</f>
        <v>IT05</v>
      </c>
      <c r="D59" s="13" t="str">
        <f>IF(C59="","",Plan!D13)</f>
        <v>Odświeżenie sieci</v>
      </c>
      <c r="E59" s="33">
        <f>IF(OR(C59="",Parametry!$G$6=""),"",DATE(Parametry!$G$6,3,1))</f>
        <v>46447</v>
      </c>
      <c r="F59" s="34">
        <f>IF(C59="","",Plan!M13)</f>
        <v>60000</v>
      </c>
      <c r="G59" s="34">
        <f>IF(C59="","",SUMIFS(ERP!$I$9:$I$1008,ERP!$L$9:$L$1008,C59,ERP!$N$9:$N$1008,1,ERP!$M$9:$M$1008,3))</f>
        <v>64000</v>
      </c>
      <c r="H59" s="34">
        <f>IF(C59="","",IF(3&lt;=Parametry!$G$7,0,SUMIFS(Umowy!$N$9:$N$108,Umowy!$D$9:$D$108,C59,Umowy!$O$9:$O$108,3)))</f>
        <v>0</v>
      </c>
      <c r="I59" s="34">
        <f>IF(C59="","",IF(3&lt;=Parametry!$G$7,0,IF(COUNTIFS(Prognoza!$C$9:$C$38,C59)=1,IF(ISBLANK(INDEX(Prognoza!$K$9:$V$38,MATCH($C59,Prognoza!$C$9:$C$38,0),3)),"",IF(ISNUMBER(INDEX(Prognoza!$K$9:$V$38,MATCH($C59,Prognoza!$C$9:$C$38,0),3)),INDEX(Prognoza!$K$9:$V$38,MATCH($C59,Prognoza!$C$9:$C$38,0),3),"")),"")))</f>
        <v>0</v>
      </c>
      <c r="J59" s="35">
        <f>IF(C59="","",IF(Plan!F13="Run",IF(ISNUMBER(INDEX(Parametry!$H$18:$S$18,1,3)),INDEX(Parametry!$H$18:$S$18,1,3),""),IF(ISNUMBER(INDEX(Parametry!$H$24:$S$24,1,3)),INDEX(Parametry!$H$24:$S$24,1,3),"")))</f>
        <v>0</v>
      </c>
      <c r="K59" s="34">
        <f>IF(C59="","",IF(3&lt;=Parametry!$G$7,0,IF(AND(ISNUMBER(I59),ISNUMBER(J59),J59&gt;=-1),I59*(1+J59),"")))</f>
        <v>0</v>
      </c>
      <c r="L59" s="34">
        <f>IF(C59="","",IF(3&lt;=Parametry!$G$7,G59,IF(ISNUMBER(K59),H59+K59,"")))</f>
        <v>64000</v>
      </c>
      <c r="M59" s="22">
        <f t="shared" si="0"/>
        <v>4000</v>
      </c>
      <c r="N59" s="7">
        <f t="shared" si="1"/>
        <v>0</v>
      </c>
      <c r="O59" s="7"/>
      <c r="P59" s="7"/>
    </row>
    <row r="60" spans="1:16" ht="24" customHeight="1">
      <c r="A60" s="7"/>
      <c r="B60" s="7"/>
      <c r="C60" s="13" t="str">
        <f>IF(Plan!C13="","",Plan!C13)</f>
        <v>IT05</v>
      </c>
      <c r="D60" s="13" t="str">
        <f>IF(C60="","",Plan!D13)</f>
        <v>Odświeżenie sieci</v>
      </c>
      <c r="E60" s="33">
        <f>IF(OR(C60="",Parametry!$G$6=""),"",DATE(Parametry!$G$6,4,1))</f>
        <v>46478</v>
      </c>
      <c r="F60" s="34">
        <f>IF(C60="","",Plan!N13)</f>
        <v>0</v>
      </c>
      <c r="G60" s="34">
        <f>IF(C60="","",SUMIFS(ERP!$I$9:$I$1008,ERP!$L$9:$L$1008,C60,ERP!$N$9:$N$1008,1,ERP!$M$9:$M$1008,4))</f>
        <v>0</v>
      </c>
      <c r="H60" s="34">
        <f>IF(C60="","",IF(4&lt;=Parametry!$G$7,0,SUMIFS(Umowy!$N$9:$N$108,Umowy!$D$9:$D$108,C60,Umowy!$O$9:$O$108,4)))</f>
        <v>0</v>
      </c>
      <c r="I60" s="34">
        <f>IF(C60="","",IF(4&lt;=Parametry!$G$7,0,IF(COUNTIFS(Prognoza!$C$9:$C$38,C60)=1,IF(ISBLANK(INDEX(Prognoza!$K$9:$V$38,MATCH($C60,Prognoza!$C$9:$C$38,0),4)),"",IF(ISNUMBER(INDEX(Prognoza!$K$9:$V$38,MATCH($C60,Prognoza!$C$9:$C$38,0),4)),INDEX(Prognoza!$K$9:$V$38,MATCH($C60,Prognoza!$C$9:$C$38,0),4),"")),"")))</f>
        <v>0</v>
      </c>
      <c r="J60" s="35">
        <f>IF(C60="","",IF(Plan!F13="Run",IF(ISNUMBER(INDEX(Parametry!$H$18:$S$18,1,4)),INDEX(Parametry!$H$18:$S$18,1,4),""),IF(ISNUMBER(INDEX(Parametry!$H$24:$S$24,1,4)),INDEX(Parametry!$H$24:$S$24,1,4),"")))</f>
        <v>0</v>
      </c>
      <c r="K60" s="34">
        <f>IF(C60="","",IF(4&lt;=Parametry!$G$7,0,IF(AND(ISNUMBER(I60),ISNUMBER(J60),J60&gt;=-1),I60*(1+J60),"")))</f>
        <v>0</v>
      </c>
      <c r="L60" s="34">
        <f>IF(C60="","",IF(4&lt;=Parametry!$G$7,G60,IF(ISNUMBER(K60),H60+K60,"")))</f>
        <v>0</v>
      </c>
      <c r="M60" s="22">
        <f t="shared" si="0"/>
        <v>0</v>
      </c>
      <c r="N60" s="7">
        <f t="shared" si="1"/>
        <v>0</v>
      </c>
      <c r="O60" s="7"/>
      <c r="P60" s="7"/>
    </row>
    <row r="61" spans="1:16" ht="24" customHeight="1">
      <c r="A61" s="7"/>
      <c r="B61" s="7"/>
      <c r="C61" s="13" t="str">
        <f>IF(Plan!C13="","",Plan!C13)</f>
        <v>IT05</v>
      </c>
      <c r="D61" s="13" t="str">
        <f>IF(C61="","",Plan!D13)</f>
        <v>Odświeżenie sieci</v>
      </c>
      <c r="E61" s="33">
        <f>IF(OR(C61="",Parametry!$G$6=""),"",DATE(Parametry!$G$6,5,1))</f>
        <v>46508</v>
      </c>
      <c r="F61" s="34">
        <f>IF(C61="","",Plan!O13)</f>
        <v>0</v>
      </c>
      <c r="G61" s="34">
        <f>IF(C61="","",SUMIFS(ERP!$I$9:$I$1008,ERP!$L$9:$L$1008,C61,ERP!$N$9:$N$1008,1,ERP!$M$9:$M$1008,5))</f>
        <v>0</v>
      </c>
      <c r="H61" s="34">
        <f>IF(C61="","",IF(5&lt;=Parametry!$G$7,0,SUMIFS(Umowy!$N$9:$N$108,Umowy!$D$9:$D$108,C61,Umowy!$O$9:$O$108,5)))</f>
        <v>0</v>
      </c>
      <c r="I61" s="34">
        <f>IF(C61="","",IF(5&lt;=Parametry!$G$7,0,IF(COUNTIFS(Prognoza!$C$9:$C$38,C61)=1,IF(ISBLANK(INDEX(Prognoza!$K$9:$V$38,MATCH($C61,Prognoza!$C$9:$C$38,0),5)),"",IF(ISNUMBER(INDEX(Prognoza!$K$9:$V$38,MATCH($C61,Prognoza!$C$9:$C$38,0),5)),INDEX(Prognoza!$K$9:$V$38,MATCH($C61,Prognoza!$C$9:$C$38,0),5),"")),"")))</f>
        <v>0</v>
      </c>
      <c r="J61" s="35">
        <f>IF(C61="","",IF(Plan!F13="Run",IF(ISNUMBER(INDEX(Parametry!$H$18:$S$18,1,5)),INDEX(Parametry!$H$18:$S$18,1,5),""),IF(ISNUMBER(INDEX(Parametry!$H$24:$S$24,1,5)),INDEX(Parametry!$H$24:$S$24,1,5),"")))</f>
        <v>0</v>
      </c>
      <c r="K61" s="34">
        <f>IF(C61="","",IF(5&lt;=Parametry!$G$7,0,IF(AND(ISNUMBER(I61),ISNUMBER(J61),J61&gt;=-1),I61*(1+J61),"")))</f>
        <v>0</v>
      </c>
      <c r="L61" s="34">
        <f>IF(C61="","",IF(5&lt;=Parametry!$G$7,G61,IF(ISNUMBER(K61),H61+K61,"")))</f>
        <v>0</v>
      </c>
      <c r="M61" s="22">
        <f t="shared" si="0"/>
        <v>0</v>
      </c>
      <c r="N61" s="7">
        <f t="shared" si="1"/>
        <v>0</v>
      </c>
      <c r="O61" s="7"/>
      <c r="P61" s="7"/>
    </row>
    <row r="62" spans="1:16" ht="24" customHeight="1">
      <c r="A62" s="7"/>
      <c r="B62" s="7"/>
      <c r="C62" s="13" t="str">
        <f>IF(Plan!C13="","",Plan!C13)</f>
        <v>IT05</v>
      </c>
      <c r="D62" s="13" t="str">
        <f>IF(C62="","",Plan!D13)</f>
        <v>Odświeżenie sieci</v>
      </c>
      <c r="E62" s="33">
        <f>IF(OR(C62="",Parametry!$G$6=""),"",DATE(Parametry!$G$6,6,1))</f>
        <v>46539</v>
      </c>
      <c r="F62" s="34">
        <f>IF(C62="","",Plan!P13)</f>
        <v>0</v>
      </c>
      <c r="G62" s="34">
        <f>IF(C62="","",SUMIFS(ERP!$I$9:$I$1008,ERP!$L$9:$L$1008,C62,ERP!$N$9:$N$1008,1,ERP!$M$9:$M$1008,6))</f>
        <v>0</v>
      </c>
      <c r="H62" s="34">
        <f>IF(C62="","",IF(6&lt;=Parametry!$G$7,0,SUMIFS(Umowy!$N$9:$N$108,Umowy!$D$9:$D$108,C62,Umowy!$O$9:$O$108,6)))</f>
        <v>0</v>
      </c>
      <c r="I62" s="34">
        <f>IF(C62="","",IF(6&lt;=Parametry!$G$7,0,IF(COUNTIFS(Prognoza!$C$9:$C$38,C62)=1,IF(ISBLANK(INDEX(Prognoza!$K$9:$V$38,MATCH($C62,Prognoza!$C$9:$C$38,0),6)),"",IF(ISNUMBER(INDEX(Prognoza!$K$9:$V$38,MATCH($C62,Prognoza!$C$9:$C$38,0),6)),INDEX(Prognoza!$K$9:$V$38,MATCH($C62,Prognoza!$C$9:$C$38,0),6),"")),"")))</f>
        <v>0</v>
      </c>
      <c r="J62" s="35">
        <f>IF(C62="","",IF(Plan!F13="Run",IF(ISNUMBER(INDEX(Parametry!$H$18:$S$18,1,6)),INDEX(Parametry!$H$18:$S$18,1,6),""),IF(ISNUMBER(INDEX(Parametry!$H$24:$S$24,1,6)),INDEX(Parametry!$H$24:$S$24,1,6),"")))</f>
        <v>0</v>
      </c>
      <c r="K62" s="34">
        <f>IF(C62="","",IF(6&lt;=Parametry!$G$7,0,IF(AND(ISNUMBER(I62),ISNUMBER(J62),J62&gt;=-1),I62*(1+J62),"")))</f>
        <v>0</v>
      </c>
      <c r="L62" s="34">
        <f>IF(C62="","",IF(6&lt;=Parametry!$G$7,G62,IF(ISNUMBER(K62),H62+K62,"")))</f>
        <v>0</v>
      </c>
      <c r="M62" s="22">
        <f t="shared" si="0"/>
        <v>0</v>
      </c>
      <c r="N62" s="7">
        <f t="shared" si="1"/>
        <v>0</v>
      </c>
      <c r="O62" s="7"/>
      <c r="P62" s="7"/>
    </row>
    <row r="63" spans="1:16" ht="24" customHeight="1">
      <c r="A63" s="7"/>
      <c r="B63" s="7"/>
      <c r="C63" s="13" t="str">
        <f>IF(Plan!C13="","",Plan!C13)</f>
        <v>IT05</v>
      </c>
      <c r="D63" s="13" t="str">
        <f>IF(C63="","",Plan!D13)</f>
        <v>Odświeżenie sieci</v>
      </c>
      <c r="E63" s="33">
        <f>IF(OR(C63="",Parametry!$G$6=""),"",DATE(Parametry!$G$6,7,1))</f>
        <v>46569</v>
      </c>
      <c r="F63" s="34">
        <f>IF(C63="","",Plan!Q13)</f>
        <v>0</v>
      </c>
      <c r="G63" s="34">
        <f>IF(C63="","",SUMIFS(ERP!$I$9:$I$1008,ERP!$L$9:$L$1008,C63,ERP!$N$9:$N$1008,1,ERP!$M$9:$M$1008,7))</f>
        <v>0</v>
      </c>
      <c r="H63" s="34">
        <f>IF(C63="","",IF(7&lt;=Parametry!$G$7,0,SUMIFS(Umowy!$N$9:$N$108,Umowy!$D$9:$D$108,C63,Umowy!$O$9:$O$108,7)))</f>
        <v>0</v>
      </c>
      <c r="I63" s="34">
        <f>IF(C63="","",IF(7&lt;=Parametry!$G$7,0,IF(COUNTIFS(Prognoza!$C$9:$C$38,C63)=1,IF(ISBLANK(INDEX(Prognoza!$K$9:$V$38,MATCH($C63,Prognoza!$C$9:$C$38,0),7)),"",IF(ISNUMBER(INDEX(Prognoza!$K$9:$V$38,MATCH($C63,Prognoza!$C$9:$C$38,0),7)),INDEX(Prognoza!$K$9:$V$38,MATCH($C63,Prognoza!$C$9:$C$38,0),7),"")),"")))</f>
        <v>0</v>
      </c>
      <c r="J63" s="35">
        <f>IF(C63="","",IF(Plan!F13="Run",IF(ISNUMBER(INDEX(Parametry!$H$18:$S$18,1,7)),INDEX(Parametry!$H$18:$S$18,1,7),""),IF(ISNUMBER(INDEX(Parametry!$H$24:$S$24,1,7)),INDEX(Parametry!$H$24:$S$24,1,7),"")))</f>
        <v>0</v>
      </c>
      <c r="K63" s="34">
        <f>IF(C63="","",IF(7&lt;=Parametry!$G$7,0,IF(AND(ISNUMBER(I63),ISNUMBER(J63),J63&gt;=-1),I63*(1+J63),"")))</f>
        <v>0</v>
      </c>
      <c r="L63" s="34">
        <f>IF(C63="","",IF(7&lt;=Parametry!$G$7,G63,IF(ISNUMBER(K63),H63+K63,"")))</f>
        <v>0</v>
      </c>
      <c r="M63" s="22">
        <f t="shared" si="0"/>
        <v>0</v>
      </c>
      <c r="N63" s="7">
        <f t="shared" si="1"/>
        <v>0</v>
      </c>
      <c r="O63" s="7"/>
      <c r="P63" s="7"/>
    </row>
    <row r="64" spans="1:16" ht="24" customHeight="1">
      <c r="A64" s="7"/>
      <c r="B64" s="7"/>
      <c r="C64" s="13" t="str">
        <f>IF(Plan!C13="","",Plan!C13)</f>
        <v>IT05</v>
      </c>
      <c r="D64" s="13" t="str">
        <f>IF(C64="","",Plan!D13)</f>
        <v>Odświeżenie sieci</v>
      </c>
      <c r="E64" s="33">
        <f>IF(OR(C64="",Parametry!$G$6=""),"",DATE(Parametry!$G$6,8,1))</f>
        <v>46600</v>
      </c>
      <c r="F64" s="34">
        <f>IF(C64="","",Plan!R13)</f>
        <v>0</v>
      </c>
      <c r="G64" s="34">
        <f>IF(C64="","",SUMIFS(ERP!$I$9:$I$1008,ERP!$L$9:$L$1008,C64,ERP!$N$9:$N$1008,1,ERP!$M$9:$M$1008,8))</f>
        <v>0</v>
      </c>
      <c r="H64" s="34">
        <f>IF(C64="","",IF(8&lt;=Parametry!$G$7,0,SUMIFS(Umowy!$N$9:$N$108,Umowy!$D$9:$D$108,C64,Umowy!$O$9:$O$108,8)))</f>
        <v>0</v>
      </c>
      <c r="I64" s="34">
        <f>IF(C64="","",IF(8&lt;=Parametry!$G$7,0,IF(COUNTIFS(Prognoza!$C$9:$C$38,C64)=1,IF(ISBLANK(INDEX(Prognoza!$K$9:$V$38,MATCH($C64,Prognoza!$C$9:$C$38,0),8)),"",IF(ISNUMBER(INDEX(Prognoza!$K$9:$V$38,MATCH($C64,Prognoza!$C$9:$C$38,0),8)),INDEX(Prognoza!$K$9:$V$38,MATCH($C64,Prognoza!$C$9:$C$38,0),8),"")),"")))</f>
        <v>0</v>
      </c>
      <c r="J64" s="35">
        <f>IF(C64="","",IF(Plan!F13="Run",IF(ISNUMBER(INDEX(Parametry!$H$18:$S$18,1,8)),INDEX(Parametry!$H$18:$S$18,1,8),""),IF(ISNUMBER(INDEX(Parametry!$H$24:$S$24,1,8)),INDEX(Parametry!$H$24:$S$24,1,8),"")))</f>
        <v>0</v>
      </c>
      <c r="K64" s="34">
        <f>IF(C64="","",IF(8&lt;=Parametry!$G$7,0,IF(AND(ISNUMBER(I64),ISNUMBER(J64),J64&gt;=-1),I64*(1+J64),"")))</f>
        <v>0</v>
      </c>
      <c r="L64" s="34">
        <f>IF(C64="","",IF(8&lt;=Parametry!$G$7,G64,IF(ISNUMBER(K64),H64+K64,"")))</f>
        <v>0</v>
      </c>
      <c r="M64" s="22">
        <f t="shared" si="0"/>
        <v>0</v>
      </c>
      <c r="N64" s="7">
        <f t="shared" si="1"/>
        <v>0</v>
      </c>
      <c r="O64" s="7"/>
      <c r="P64" s="7"/>
    </row>
    <row r="65" spans="1:16" ht="24" customHeight="1">
      <c r="A65" s="7"/>
      <c r="B65" s="7"/>
      <c r="C65" s="13" t="str">
        <f>IF(Plan!C13="","",Plan!C13)</f>
        <v>IT05</v>
      </c>
      <c r="D65" s="13" t="str">
        <f>IF(C65="","",Plan!D13)</f>
        <v>Odświeżenie sieci</v>
      </c>
      <c r="E65" s="33">
        <f>IF(OR(C65="",Parametry!$G$6=""),"",DATE(Parametry!$G$6,9,1))</f>
        <v>46631</v>
      </c>
      <c r="F65" s="34">
        <f>IF(C65="","",Plan!S13)</f>
        <v>0</v>
      </c>
      <c r="G65" s="34">
        <f>IF(C65="","",SUMIFS(ERP!$I$9:$I$1008,ERP!$L$9:$L$1008,C65,ERP!$N$9:$N$1008,1,ERP!$M$9:$M$1008,9))</f>
        <v>0</v>
      </c>
      <c r="H65" s="34">
        <f>IF(C65="","",IF(9&lt;=Parametry!$G$7,0,SUMIFS(Umowy!$N$9:$N$108,Umowy!$D$9:$D$108,C65,Umowy!$O$9:$O$108,9)))</f>
        <v>0</v>
      </c>
      <c r="I65" s="34">
        <f>IF(C65="","",IF(9&lt;=Parametry!$G$7,0,IF(COUNTIFS(Prognoza!$C$9:$C$38,C65)=1,IF(ISBLANK(INDEX(Prognoza!$K$9:$V$38,MATCH($C65,Prognoza!$C$9:$C$38,0),9)),"",IF(ISNUMBER(INDEX(Prognoza!$K$9:$V$38,MATCH($C65,Prognoza!$C$9:$C$38,0),9)),INDEX(Prognoza!$K$9:$V$38,MATCH($C65,Prognoza!$C$9:$C$38,0),9),"")),"")))</f>
        <v>0</v>
      </c>
      <c r="J65" s="35">
        <f>IF(C65="","",IF(Plan!F13="Run",IF(ISNUMBER(INDEX(Parametry!$H$18:$S$18,1,9)),INDEX(Parametry!$H$18:$S$18,1,9),""),IF(ISNUMBER(INDEX(Parametry!$H$24:$S$24,1,9)),INDEX(Parametry!$H$24:$S$24,1,9),"")))</f>
        <v>0</v>
      </c>
      <c r="K65" s="34">
        <f>IF(C65="","",IF(9&lt;=Parametry!$G$7,0,IF(AND(ISNUMBER(I65),ISNUMBER(J65),J65&gt;=-1),I65*(1+J65),"")))</f>
        <v>0</v>
      </c>
      <c r="L65" s="34">
        <f>IF(C65="","",IF(9&lt;=Parametry!$G$7,G65,IF(ISNUMBER(K65),H65+K65,"")))</f>
        <v>0</v>
      </c>
      <c r="M65" s="22">
        <f t="shared" si="0"/>
        <v>0</v>
      </c>
      <c r="N65" s="7">
        <f t="shared" si="1"/>
        <v>0</v>
      </c>
      <c r="O65" s="7"/>
      <c r="P65" s="7"/>
    </row>
    <row r="66" spans="1:16" ht="24" customHeight="1">
      <c r="A66" s="7"/>
      <c r="B66" s="7"/>
      <c r="C66" s="13" t="str">
        <f>IF(Plan!C13="","",Plan!C13)</f>
        <v>IT05</v>
      </c>
      <c r="D66" s="13" t="str">
        <f>IF(C66="","",Plan!D13)</f>
        <v>Odświeżenie sieci</v>
      </c>
      <c r="E66" s="33">
        <f>IF(OR(C66="",Parametry!$G$6=""),"",DATE(Parametry!$G$6,10,1))</f>
        <v>46661</v>
      </c>
      <c r="F66" s="34">
        <f>IF(C66="","",Plan!T13)</f>
        <v>0</v>
      </c>
      <c r="G66" s="34">
        <f>IF(C66="","",SUMIFS(ERP!$I$9:$I$1008,ERP!$L$9:$L$1008,C66,ERP!$N$9:$N$1008,1,ERP!$M$9:$M$1008,10))</f>
        <v>0</v>
      </c>
      <c r="H66" s="34">
        <f>IF(C66="","",IF(10&lt;=Parametry!$G$7,0,SUMIFS(Umowy!$N$9:$N$108,Umowy!$D$9:$D$108,C66,Umowy!$O$9:$O$108,10)))</f>
        <v>0</v>
      </c>
      <c r="I66" s="34">
        <f>IF(C66="","",IF(10&lt;=Parametry!$G$7,0,IF(COUNTIFS(Prognoza!$C$9:$C$38,C66)=1,IF(ISBLANK(INDEX(Prognoza!$K$9:$V$38,MATCH($C66,Prognoza!$C$9:$C$38,0),10)),"",IF(ISNUMBER(INDEX(Prognoza!$K$9:$V$38,MATCH($C66,Prognoza!$C$9:$C$38,0),10)),INDEX(Prognoza!$K$9:$V$38,MATCH($C66,Prognoza!$C$9:$C$38,0),10),"")),"")))</f>
        <v>0</v>
      </c>
      <c r="J66" s="35">
        <f>IF(C66="","",IF(Plan!F13="Run",IF(ISNUMBER(INDEX(Parametry!$H$18:$S$18,1,10)),INDEX(Parametry!$H$18:$S$18,1,10),""),IF(ISNUMBER(INDEX(Parametry!$H$24:$S$24,1,10)),INDEX(Parametry!$H$24:$S$24,1,10),"")))</f>
        <v>0</v>
      </c>
      <c r="K66" s="34">
        <f>IF(C66="","",IF(10&lt;=Parametry!$G$7,0,IF(AND(ISNUMBER(I66),ISNUMBER(J66),J66&gt;=-1),I66*(1+J66),"")))</f>
        <v>0</v>
      </c>
      <c r="L66" s="34">
        <f>IF(C66="","",IF(10&lt;=Parametry!$G$7,G66,IF(ISNUMBER(K66),H66+K66,"")))</f>
        <v>0</v>
      </c>
      <c r="M66" s="22">
        <f t="shared" si="0"/>
        <v>0</v>
      </c>
      <c r="N66" s="7">
        <f t="shared" si="1"/>
        <v>0</v>
      </c>
      <c r="O66" s="7"/>
      <c r="P66" s="7"/>
    </row>
    <row r="67" spans="1:16" ht="24" customHeight="1">
      <c r="A67" s="7"/>
      <c r="B67" s="7"/>
      <c r="C67" s="13" t="str">
        <f>IF(Plan!C13="","",Plan!C13)</f>
        <v>IT05</v>
      </c>
      <c r="D67" s="13" t="str">
        <f>IF(C67="","",Plan!D13)</f>
        <v>Odświeżenie sieci</v>
      </c>
      <c r="E67" s="33">
        <f>IF(OR(C67="",Parametry!$G$6=""),"",DATE(Parametry!$G$6,11,1))</f>
        <v>46692</v>
      </c>
      <c r="F67" s="34">
        <f>IF(C67="","",Plan!U13)</f>
        <v>0</v>
      </c>
      <c r="G67" s="34">
        <f>IF(C67="","",SUMIFS(ERP!$I$9:$I$1008,ERP!$L$9:$L$1008,C67,ERP!$N$9:$N$1008,1,ERP!$M$9:$M$1008,11))</f>
        <v>0</v>
      </c>
      <c r="H67" s="34">
        <f>IF(C67="","",IF(11&lt;=Parametry!$G$7,0,SUMIFS(Umowy!$N$9:$N$108,Umowy!$D$9:$D$108,C67,Umowy!$O$9:$O$108,11)))</f>
        <v>0</v>
      </c>
      <c r="I67" s="34">
        <f>IF(C67="","",IF(11&lt;=Parametry!$G$7,0,IF(COUNTIFS(Prognoza!$C$9:$C$38,C67)=1,IF(ISBLANK(INDEX(Prognoza!$K$9:$V$38,MATCH($C67,Prognoza!$C$9:$C$38,0),11)),"",IF(ISNUMBER(INDEX(Prognoza!$K$9:$V$38,MATCH($C67,Prognoza!$C$9:$C$38,0),11)),INDEX(Prognoza!$K$9:$V$38,MATCH($C67,Prognoza!$C$9:$C$38,0),11),"")),"")))</f>
        <v>0</v>
      </c>
      <c r="J67" s="35">
        <f>IF(C67="","",IF(Plan!F13="Run",IF(ISNUMBER(INDEX(Parametry!$H$18:$S$18,1,11)),INDEX(Parametry!$H$18:$S$18,1,11),""),IF(ISNUMBER(INDEX(Parametry!$H$24:$S$24,1,11)),INDEX(Parametry!$H$24:$S$24,1,11),"")))</f>
        <v>0</v>
      </c>
      <c r="K67" s="34">
        <f>IF(C67="","",IF(11&lt;=Parametry!$G$7,0,IF(AND(ISNUMBER(I67),ISNUMBER(J67),J67&gt;=-1),I67*(1+J67),"")))</f>
        <v>0</v>
      </c>
      <c r="L67" s="34">
        <f>IF(C67="","",IF(11&lt;=Parametry!$G$7,G67,IF(ISNUMBER(K67),H67+K67,"")))</f>
        <v>0</v>
      </c>
      <c r="M67" s="22">
        <f t="shared" si="0"/>
        <v>0</v>
      </c>
      <c r="N67" s="7">
        <f t="shared" si="1"/>
        <v>0</v>
      </c>
      <c r="O67" s="7"/>
      <c r="P67" s="7"/>
    </row>
    <row r="68" spans="1:16" ht="24" customHeight="1">
      <c r="A68" s="7"/>
      <c r="B68" s="7"/>
      <c r="C68" s="13" t="str">
        <f>IF(Plan!C13="","",Plan!C13)</f>
        <v>IT05</v>
      </c>
      <c r="D68" s="13" t="str">
        <f>IF(C68="","",Plan!D13)</f>
        <v>Odświeżenie sieci</v>
      </c>
      <c r="E68" s="33">
        <f>IF(OR(C68="",Parametry!$G$6=""),"",DATE(Parametry!$G$6,12,1))</f>
        <v>46722</v>
      </c>
      <c r="F68" s="34">
        <f>IF(C68="","",Plan!V13)</f>
        <v>0</v>
      </c>
      <c r="G68" s="34">
        <f>IF(C68="","",SUMIFS(ERP!$I$9:$I$1008,ERP!$L$9:$L$1008,C68,ERP!$N$9:$N$1008,1,ERP!$M$9:$M$1008,12))</f>
        <v>0</v>
      </c>
      <c r="H68" s="34">
        <f>IF(C68="","",IF(12&lt;=Parametry!$G$7,0,SUMIFS(Umowy!$N$9:$N$108,Umowy!$D$9:$D$108,C68,Umowy!$O$9:$O$108,12)))</f>
        <v>0</v>
      </c>
      <c r="I68" s="34">
        <f>IF(C68="","",IF(12&lt;=Parametry!$G$7,0,IF(COUNTIFS(Prognoza!$C$9:$C$38,C68)=1,IF(ISBLANK(INDEX(Prognoza!$K$9:$V$38,MATCH($C68,Prognoza!$C$9:$C$38,0),12)),"",IF(ISNUMBER(INDEX(Prognoza!$K$9:$V$38,MATCH($C68,Prognoza!$C$9:$C$38,0),12)),INDEX(Prognoza!$K$9:$V$38,MATCH($C68,Prognoza!$C$9:$C$38,0),12),"")),"")))</f>
        <v>0</v>
      </c>
      <c r="J68" s="35">
        <f>IF(C68="","",IF(Plan!F13="Run",IF(ISNUMBER(INDEX(Parametry!$H$18:$S$18,1,12)),INDEX(Parametry!$H$18:$S$18,1,12),""),IF(ISNUMBER(INDEX(Parametry!$H$24:$S$24,1,12)),INDEX(Parametry!$H$24:$S$24,1,12),"")))</f>
        <v>0</v>
      </c>
      <c r="K68" s="34">
        <f>IF(C68="","",IF(12&lt;=Parametry!$G$7,0,IF(AND(ISNUMBER(I68),ISNUMBER(J68),J68&gt;=-1),I68*(1+J68),"")))</f>
        <v>0</v>
      </c>
      <c r="L68" s="34">
        <f>IF(C68="","",IF(12&lt;=Parametry!$G$7,G68,IF(ISNUMBER(K68),H68+K68,"")))</f>
        <v>0</v>
      </c>
      <c r="M68" s="22">
        <f t="shared" si="0"/>
        <v>0</v>
      </c>
      <c r="N68" s="7">
        <f t="shared" si="1"/>
        <v>0</v>
      </c>
      <c r="O68" s="7"/>
      <c r="P68" s="7"/>
    </row>
    <row r="69" spans="1:16" ht="24" customHeight="1">
      <c r="A69" s="7"/>
      <c r="B69" s="7"/>
      <c r="C69" s="13" t="str">
        <f>IF(Plan!C14="","",Plan!C14)</f>
        <v>IT06</v>
      </c>
      <c r="D69" s="13" t="str">
        <f>IF(C69="","",Plan!D14)</f>
        <v>Projekt WMS</v>
      </c>
      <c r="E69" s="33">
        <f>IF(OR(C69="",Parametry!$G$6=""),"",DATE(Parametry!$G$6,1,1))</f>
        <v>46388</v>
      </c>
      <c r="F69" s="34">
        <f>IF(C69="","",Plan!K14)</f>
        <v>0</v>
      </c>
      <c r="G69" s="34">
        <f>IF(C69="","",SUMIFS(ERP!$I$9:$I$1008,ERP!$L$9:$L$1008,C69,ERP!$N$9:$N$1008,1,ERP!$M$9:$M$1008,1))</f>
        <v>0</v>
      </c>
      <c r="H69" s="34">
        <f>IF(C69="","",IF(1&lt;=Parametry!$G$7,0,SUMIFS(Umowy!$N$9:$N$108,Umowy!$D$9:$D$108,C69,Umowy!$O$9:$O$108,1)))</f>
        <v>0</v>
      </c>
      <c r="I69" s="34">
        <f>IF(C69="","",IF(1&lt;=Parametry!$G$7,0,IF(COUNTIFS(Prognoza!$C$9:$C$38,C69)=1,IF(ISBLANK(INDEX(Prognoza!$K$9:$V$38,MATCH($C69,Prognoza!$C$9:$C$38,0),1)),"",IF(ISNUMBER(INDEX(Prognoza!$K$9:$V$38,MATCH($C69,Prognoza!$C$9:$C$38,0),1)),INDEX(Prognoza!$K$9:$V$38,MATCH($C69,Prognoza!$C$9:$C$38,0),1),"")),"")))</f>
        <v>0</v>
      </c>
      <c r="J69" s="35">
        <f>IF(C69="","",IF(Plan!F14="Run",IF(ISNUMBER(INDEX(Parametry!$H$18:$S$18,1,1)),INDEX(Parametry!$H$18:$S$18,1,1),""),IF(ISNUMBER(INDEX(Parametry!$H$24:$S$24,1,1)),INDEX(Parametry!$H$24:$S$24,1,1),"")))</f>
        <v>0</v>
      </c>
      <c r="K69" s="34">
        <f>IF(C69="","",IF(1&lt;=Parametry!$G$7,0,IF(AND(ISNUMBER(I69),ISNUMBER(J69),J69&gt;=-1),I69*(1+J69),"")))</f>
        <v>0</v>
      </c>
      <c r="L69" s="34">
        <f>IF(C69="","",IF(1&lt;=Parametry!$G$7,G69,IF(ISNUMBER(K69),H69+K69,"")))</f>
        <v>0</v>
      </c>
      <c r="M69" s="22">
        <f t="shared" si="0"/>
        <v>0</v>
      </c>
      <c r="N69" s="7">
        <f t="shared" si="1"/>
        <v>0</v>
      </c>
      <c r="O69" s="7"/>
      <c r="P69" s="7"/>
    </row>
    <row r="70" spans="1:16" ht="24" customHeight="1">
      <c r="A70" s="7"/>
      <c r="B70" s="7"/>
      <c r="C70" s="13" t="str">
        <f>IF(Plan!C14="","",Plan!C14)</f>
        <v>IT06</v>
      </c>
      <c r="D70" s="13" t="str">
        <f>IF(C70="","",Plan!D14)</f>
        <v>Projekt WMS</v>
      </c>
      <c r="E70" s="33">
        <f>IF(OR(C70="",Parametry!$G$6=""),"",DATE(Parametry!$G$6,2,1))</f>
        <v>46419</v>
      </c>
      <c r="F70" s="34">
        <f>IF(C70="","",Plan!L14)</f>
        <v>0</v>
      </c>
      <c r="G70" s="34">
        <f>IF(C70="","",SUMIFS(ERP!$I$9:$I$1008,ERP!$L$9:$L$1008,C70,ERP!$N$9:$N$1008,1,ERP!$M$9:$M$1008,2))</f>
        <v>0</v>
      </c>
      <c r="H70" s="34">
        <f>IF(C70="","",IF(2&lt;=Parametry!$G$7,0,SUMIFS(Umowy!$N$9:$N$108,Umowy!$D$9:$D$108,C70,Umowy!$O$9:$O$108,2)))</f>
        <v>0</v>
      </c>
      <c r="I70" s="34">
        <f>IF(C70="","",IF(2&lt;=Parametry!$G$7,0,IF(COUNTIFS(Prognoza!$C$9:$C$38,C70)=1,IF(ISBLANK(INDEX(Prognoza!$K$9:$V$38,MATCH($C70,Prognoza!$C$9:$C$38,0),2)),"",IF(ISNUMBER(INDEX(Prognoza!$K$9:$V$38,MATCH($C70,Prognoza!$C$9:$C$38,0),2)),INDEX(Prognoza!$K$9:$V$38,MATCH($C70,Prognoza!$C$9:$C$38,0),2),"")),"")))</f>
        <v>0</v>
      </c>
      <c r="J70" s="35">
        <f>IF(C70="","",IF(Plan!F14="Run",IF(ISNUMBER(INDEX(Parametry!$H$18:$S$18,1,2)),INDEX(Parametry!$H$18:$S$18,1,2),""),IF(ISNUMBER(INDEX(Parametry!$H$24:$S$24,1,2)),INDEX(Parametry!$H$24:$S$24,1,2),"")))</f>
        <v>0</v>
      </c>
      <c r="K70" s="34">
        <f>IF(C70="","",IF(2&lt;=Parametry!$G$7,0,IF(AND(ISNUMBER(I70),ISNUMBER(J70),J70&gt;=-1),I70*(1+J70),"")))</f>
        <v>0</v>
      </c>
      <c r="L70" s="34">
        <f>IF(C70="","",IF(2&lt;=Parametry!$G$7,G70,IF(ISNUMBER(K70),H70+K70,"")))</f>
        <v>0</v>
      </c>
      <c r="M70" s="22">
        <f t="shared" si="0"/>
        <v>0</v>
      </c>
      <c r="N70" s="7">
        <f t="shared" si="1"/>
        <v>0</v>
      </c>
      <c r="O70" s="7"/>
      <c r="P70" s="7"/>
    </row>
    <row r="71" spans="1:16" ht="24" customHeight="1">
      <c r="A71" s="7"/>
      <c r="B71" s="7"/>
      <c r="C71" s="13" t="str">
        <f>IF(Plan!C14="","",Plan!C14)</f>
        <v>IT06</v>
      </c>
      <c r="D71" s="13" t="str">
        <f>IF(C71="","",Plan!D14)</f>
        <v>Projekt WMS</v>
      </c>
      <c r="E71" s="33">
        <f>IF(OR(C71="",Parametry!$G$6=""),"",DATE(Parametry!$G$6,3,1))</f>
        <v>46447</v>
      </c>
      <c r="F71" s="34">
        <f>IF(C71="","",Plan!M14)</f>
        <v>0</v>
      </c>
      <c r="G71" s="34">
        <f>IF(C71="","",SUMIFS(ERP!$I$9:$I$1008,ERP!$L$9:$L$1008,C71,ERP!$N$9:$N$1008,1,ERP!$M$9:$M$1008,3))</f>
        <v>0</v>
      </c>
      <c r="H71" s="34">
        <f>IF(C71="","",IF(3&lt;=Parametry!$G$7,0,SUMIFS(Umowy!$N$9:$N$108,Umowy!$D$9:$D$108,C71,Umowy!$O$9:$O$108,3)))</f>
        <v>0</v>
      </c>
      <c r="I71" s="34">
        <f>IF(C71="","",IF(3&lt;=Parametry!$G$7,0,IF(COUNTIFS(Prognoza!$C$9:$C$38,C71)=1,IF(ISBLANK(INDEX(Prognoza!$K$9:$V$38,MATCH($C71,Prognoza!$C$9:$C$38,0),3)),"",IF(ISNUMBER(INDEX(Prognoza!$K$9:$V$38,MATCH($C71,Prognoza!$C$9:$C$38,0),3)),INDEX(Prognoza!$K$9:$V$38,MATCH($C71,Prognoza!$C$9:$C$38,0),3),"")),"")))</f>
        <v>0</v>
      </c>
      <c r="J71" s="35">
        <f>IF(C71="","",IF(Plan!F14="Run",IF(ISNUMBER(INDEX(Parametry!$H$18:$S$18,1,3)),INDEX(Parametry!$H$18:$S$18,1,3),""),IF(ISNUMBER(INDEX(Parametry!$H$24:$S$24,1,3)),INDEX(Parametry!$H$24:$S$24,1,3),"")))</f>
        <v>0</v>
      </c>
      <c r="K71" s="34">
        <f>IF(C71="","",IF(3&lt;=Parametry!$G$7,0,IF(AND(ISNUMBER(I71),ISNUMBER(J71),J71&gt;=-1),I71*(1+J71),"")))</f>
        <v>0</v>
      </c>
      <c r="L71" s="34">
        <f>IF(C71="","",IF(3&lt;=Parametry!$G$7,G71,IF(ISNUMBER(K71),H71+K71,"")))</f>
        <v>0</v>
      </c>
      <c r="M71" s="22">
        <f t="shared" si="0"/>
        <v>0</v>
      </c>
      <c r="N71" s="7">
        <f t="shared" si="1"/>
        <v>0</v>
      </c>
      <c r="O71" s="7"/>
      <c r="P71" s="7"/>
    </row>
    <row r="72" spans="1:16" ht="24" customHeight="1">
      <c r="A72" s="7"/>
      <c r="B72" s="7"/>
      <c r="C72" s="13" t="str">
        <f>IF(Plan!C14="","",Plan!C14)</f>
        <v>IT06</v>
      </c>
      <c r="D72" s="13" t="str">
        <f>IF(C72="","",Plan!D14)</f>
        <v>Projekt WMS</v>
      </c>
      <c r="E72" s="33">
        <f>IF(OR(C72="",Parametry!$G$6=""),"",DATE(Parametry!$G$6,4,1))</f>
        <v>46478</v>
      </c>
      <c r="F72" s="34">
        <f>IF(C72="","",Plan!N14)</f>
        <v>40000</v>
      </c>
      <c r="G72" s="34">
        <f>IF(C72="","",SUMIFS(ERP!$I$9:$I$1008,ERP!$L$9:$L$1008,C72,ERP!$N$9:$N$1008,1,ERP!$M$9:$M$1008,4))</f>
        <v>40000</v>
      </c>
      <c r="H72" s="34">
        <f>IF(C72="","",IF(4&lt;=Parametry!$G$7,0,SUMIFS(Umowy!$N$9:$N$108,Umowy!$D$9:$D$108,C72,Umowy!$O$9:$O$108,4)))</f>
        <v>0</v>
      </c>
      <c r="I72" s="34">
        <f>IF(C72="","",IF(4&lt;=Parametry!$G$7,0,IF(COUNTIFS(Prognoza!$C$9:$C$38,C72)=1,IF(ISBLANK(INDEX(Prognoza!$K$9:$V$38,MATCH($C72,Prognoza!$C$9:$C$38,0),4)),"",IF(ISNUMBER(INDEX(Prognoza!$K$9:$V$38,MATCH($C72,Prognoza!$C$9:$C$38,0),4)),INDEX(Prognoza!$K$9:$V$38,MATCH($C72,Prognoza!$C$9:$C$38,0),4),"")),"")))</f>
        <v>0</v>
      </c>
      <c r="J72" s="35">
        <f>IF(C72="","",IF(Plan!F14="Run",IF(ISNUMBER(INDEX(Parametry!$H$18:$S$18,1,4)),INDEX(Parametry!$H$18:$S$18,1,4),""),IF(ISNUMBER(INDEX(Parametry!$H$24:$S$24,1,4)),INDEX(Parametry!$H$24:$S$24,1,4),"")))</f>
        <v>0</v>
      </c>
      <c r="K72" s="34">
        <f>IF(C72="","",IF(4&lt;=Parametry!$G$7,0,IF(AND(ISNUMBER(I72),ISNUMBER(J72),J72&gt;=-1),I72*(1+J72),"")))</f>
        <v>0</v>
      </c>
      <c r="L72" s="34">
        <f>IF(C72="","",IF(4&lt;=Parametry!$G$7,G72,IF(ISNUMBER(K72),H72+K72,"")))</f>
        <v>40000</v>
      </c>
      <c r="M72" s="22">
        <f t="shared" si="0"/>
        <v>0</v>
      </c>
      <c r="N72" s="7">
        <f t="shared" si="1"/>
        <v>0</v>
      </c>
      <c r="O72" s="7"/>
      <c r="P72" s="7"/>
    </row>
    <row r="73" spans="1:16" ht="24" customHeight="1">
      <c r="A73" s="7"/>
      <c r="B73" s="7"/>
      <c r="C73" s="13" t="str">
        <f>IF(Plan!C14="","",Plan!C14)</f>
        <v>IT06</v>
      </c>
      <c r="D73" s="13" t="str">
        <f>IF(C73="","",Plan!D14)</f>
        <v>Projekt WMS</v>
      </c>
      <c r="E73" s="33">
        <f>IF(OR(C73="",Parametry!$G$6=""),"",DATE(Parametry!$G$6,5,1))</f>
        <v>46508</v>
      </c>
      <c r="F73" s="34">
        <f>IF(C73="","",Plan!O14)</f>
        <v>0</v>
      </c>
      <c r="G73" s="34">
        <f>IF(C73="","",SUMIFS(ERP!$I$9:$I$1008,ERP!$L$9:$L$1008,C73,ERP!$N$9:$N$1008,1,ERP!$M$9:$M$1008,5))</f>
        <v>0</v>
      </c>
      <c r="H73" s="34">
        <f>IF(C73="","",IF(5&lt;=Parametry!$G$7,0,SUMIFS(Umowy!$N$9:$N$108,Umowy!$D$9:$D$108,C73,Umowy!$O$9:$O$108,5)))</f>
        <v>0</v>
      </c>
      <c r="I73" s="34">
        <f>IF(C73="","",IF(5&lt;=Parametry!$G$7,0,IF(COUNTIFS(Prognoza!$C$9:$C$38,C73)=1,IF(ISBLANK(INDEX(Prognoza!$K$9:$V$38,MATCH($C73,Prognoza!$C$9:$C$38,0),5)),"",IF(ISNUMBER(INDEX(Prognoza!$K$9:$V$38,MATCH($C73,Prognoza!$C$9:$C$38,0),5)),INDEX(Prognoza!$K$9:$V$38,MATCH($C73,Prognoza!$C$9:$C$38,0),5),"")),"")))</f>
        <v>0</v>
      </c>
      <c r="J73" s="35">
        <f>IF(C73="","",IF(Plan!F14="Run",IF(ISNUMBER(INDEX(Parametry!$H$18:$S$18,1,5)),INDEX(Parametry!$H$18:$S$18,1,5),""),IF(ISNUMBER(INDEX(Parametry!$H$24:$S$24,1,5)),INDEX(Parametry!$H$24:$S$24,1,5),"")))</f>
        <v>0</v>
      </c>
      <c r="K73" s="34">
        <f>IF(C73="","",IF(5&lt;=Parametry!$G$7,0,IF(AND(ISNUMBER(I73),ISNUMBER(J73),J73&gt;=-1),I73*(1+J73),"")))</f>
        <v>0</v>
      </c>
      <c r="L73" s="34">
        <f>IF(C73="","",IF(5&lt;=Parametry!$G$7,G73,IF(ISNUMBER(K73),H73+K73,"")))</f>
        <v>0</v>
      </c>
      <c r="M73" s="22">
        <f t="shared" ref="M73:M136" si="2">IF(AND(C73&lt;&gt;"",ISNUMBER(L73)),L73-F73,"")</f>
        <v>0</v>
      </c>
      <c r="N73" s="7">
        <f t="shared" ref="N73:N136" si="3">IF(C73="",0,IF(ISNUMBER(L73),0,1))</f>
        <v>0</v>
      </c>
      <c r="O73" s="7"/>
      <c r="P73" s="7"/>
    </row>
    <row r="74" spans="1:16" ht="24" customHeight="1">
      <c r="A74" s="7"/>
      <c r="B74" s="7"/>
      <c r="C74" s="13" t="str">
        <f>IF(Plan!C14="","",Plan!C14)</f>
        <v>IT06</v>
      </c>
      <c r="D74" s="13" t="str">
        <f>IF(C74="","",Plan!D14)</f>
        <v>Projekt WMS</v>
      </c>
      <c r="E74" s="33">
        <f>IF(OR(C74="",Parametry!$G$6=""),"",DATE(Parametry!$G$6,6,1))</f>
        <v>46539</v>
      </c>
      <c r="F74" s="34">
        <f>IF(C74="","",Plan!P14)</f>
        <v>0</v>
      </c>
      <c r="G74" s="34">
        <f>IF(C74="","",SUMIFS(ERP!$I$9:$I$1008,ERP!$L$9:$L$1008,C74,ERP!$N$9:$N$1008,1,ERP!$M$9:$M$1008,6))</f>
        <v>0</v>
      </c>
      <c r="H74" s="34">
        <f>IF(C74="","",IF(6&lt;=Parametry!$G$7,0,SUMIFS(Umowy!$N$9:$N$108,Umowy!$D$9:$D$108,C74,Umowy!$O$9:$O$108,6)))</f>
        <v>0</v>
      </c>
      <c r="I74" s="34">
        <f>IF(C74="","",IF(6&lt;=Parametry!$G$7,0,IF(COUNTIFS(Prognoza!$C$9:$C$38,C74)=1,IF(ISBLANK(INDEX(Prognoza!$K$9:$V$38,MATCH($C74,Prognoza!$C$9:$C$38,0),6)),"",IF(ISNUMBER(INDEX(Prognoza!$K$9:$V$38,MATCH($C74,Prognoza!$C$9:$C$38,0),6)),INDEX(Prognoza!$K$9:$V$38,MATCH($C74,Prognoza!$C$9:$C$38,0),6),"")),"")))</f>
        <v>0</v>
      </c>
      <c r="J74" s="35">
        <f>IF(C74="","",IF(Plan!F14="Run",IF(ISNUMBER(INDEX(Parametry!$H$18:$S$18,1,6)),INDEX(Parametry!$H$18:$S$18,1,6),""),IF(ISNUMBER(INDEX(Parametry!$H$24:$S$24,1,6)),INDEX(Parametry!$H$24:$S$24,1,6),"")))</f>
        <v>0</v>
      </c>
      <c r="K74" s="34">
        <f>IF(C74="","",IF(6&lt;=Parametry!$G$7,0,IF(AND(ISNUMBER(I74),ISNUMBER(J74),J74&gt;=-1),I74*(1+J74),"")))</f>
        <v>0</v>
      </c>
      <c r="L74" s="34">
        <f>IF(C74="","",IF(6&lt;=Parametry!$G$7,G74,IF(ISNUMBER(K74),H74+K74,"")))</f>
        <v>0</v>
      </c>
      <c r="M74" s="22">
        <f t="shared" si="2"/>
        <v>0</v>
      </c>
      <c r="N74" s="7">
        <f t="shared" si="3"/>
        <v>0</v>
      </c>
      <c r="O74" s="7"/>
      <c r="P74" s="7"/>
    </row>
    <row r="75" spans="1:16" ht="24" customHeight="1">
      <c r="A75" s="7"/>
      <c r="B75" s="7"/>
      <c r="C75" s="13" t="str">
        <f>IF(Plan!C14="","",Plan!C14)</f>
        <v>IT06</v>
      </c>
      <c r="D75" s="13" t="str">
        <f>IF(C75="","",Plan!D14)</f>
        <v>Projekt WMS</v>
      </c>
      <c r="E75" s="33">
        <f>IF(OR(C75="",Parametry!$G$6=""),"",DATE(Parametry!$G$6,7,1))</f>
        <v>46569</v>
      </c>
      <c r="F75" s="34">
        <f>IF(C75="","",Plan!Q14)</f>
        <v>0</v>
      </c>
      <c r="G75" s="34">
        <f>IF(C75="","",SUMIFS(ERP!$I$9:$I$1008,ERP!$L$9:$L$1008,C75,ERP!$N$9:$N$1008,1,ERP!$M$9:$M$1008,7))</f>
        <v>0</v>
      </c>
      <c r="H75" s="34">
        <f>IF(C75="","",IF(7&lt;=Parametry!$G$7,0,SUMIFS(Umowy!$N$9:$N$108,Umowy!$D$9:$D$108,C75,Umowy!$O$9:$O$108,7)))</f>
        <v>0</v>
      </c>
      <c r="I75" s="34">
        <f>IF(C75="","",IF(7&lt;=Parametry!$G$7,0,IF(COUNTIFS(Prognoza!$C$9:$C$38,C75)=1,IF(ISBLANK(INDEX(Prognoza!$K$9:$V$38,MATCH($C75,Prognoza!$C$9:$C$38,0),7)),"",IF(ISNUMBER(INDEX(Prognoza!$K$9:$V$38,MATCH($C75,Prognoza!$C$9:$C$38,0),7)),INDEX(Prognoza!$K$9:$V$38,MATCH($C75,Prognoza!$C$9:$C$38,0),7),"")),"")))</f>
        <v>0</v>
      </c>
      <c r="J75" s="35">
        <f>IF(C75="","",IF(Plan!F14="Run",IF(ISNUMBER(INDEX(Parametry!$H$18:$S$18,1,7)),INDEX(Parametry!$H$18:$S$18,1,7),""),IF(ISNUMBER(INDEX(Parametry!$H$24:$S$24,1,7)),INDEX(Parametry!$H$24:$S$24,1,7),"")))</f>
        <v>0</v>
      </c>
      <c r="K75" s="34">
        <f>IF(C75="","",IF(7&lt;=Parametry!$G$7,0,IF(AND(ISNUMBER(I75),ISNUMBER(J75),J75&gt;=-1),I75*(1+J75),"")))</f>
        <v>0</v>
      </c>
      <c r="L75" s="34">
        <f>IF(C75="","",IF(7&lt;=Parametry!$G$7,G75,IF(ISNUMBER(K75),H75+K75,"")))</f>
        <v>0</v>
      </c>
      <c r="M75" s="22">
        <f t="shared" si="2"/>
        <v>0</v>
      </c>
      <c r="N75" s="7">
        <f t="shared" si="3"/>
        <v>0</v>
      </c>
      <c r="O75" s="7"/>
      <c r="P75" s="7"/>
    </row>
    <row r="76" spans="1:16" ht="24" customHeight="1">
      <c r="A76" s="7"/>
      <c r="B76" s="7"/>
      <c r="C76" s="13" t="str">
        <f>IF(Plan!C14="","",Plan!C14)</f>
        <v>IT06</v>
      </c>
      <c r="D76" s="13" t="str">
        <f>IF(C76="","",Plan!D14)</f>
        <v>Projekt WMS</v>
      </c>
      <c r="E76" s="33">
        <f>IF(OR(C76="",Parametry!$G$6=""),"",DATE(Parametry!$G$6,8,1))</f>
        <v>46600</v>
      </c>
      <c r="F76" s="34">
        <f>IF(C76="","",Plan!R14)</f>
        <v>0</v>
      </c>
      <c r="G76" s="34">
        <f>IF(C76="","",SUMIFS(ERP!$I$9:$I$1008,ERP!$L$9:$L$1008,C76,ERP!$N$9:$N$1008,1,ERP!$M$9:$M$1008,8))</f>
        <v>0</v>
      </c>
      <c r="H76" s="34">
        <f>IF(C76="","",IF(8&lt;=Parametry!$G$7,0,SUMIFS(Umowy!$N$9:$N$108,Umowy!$D$9:$D$108,C76,Umowy!$O$9:$O$108,8)))</f>
        <v>0</v>
      </c>
      <c r="I76" s="34">
        <f>IF(C76="","",IF(8&lt;=Parametry!$G$7,0,IF(COUNTIFS(Prognoza!$C$9:$C$38,C76)=1,IF(ISBLANK(INDEX(Prognoza!$K$9:$V$38,MATCH($C76,Prognoza!$C$9:$C$38,0),8)),"",IF(ISNUMBER(INDEX(Prognoza!$K$9:$V$38,MATCH($C76,Prognoza!$C$9:$C$38,0),8)),INDEX(Prognoza!$K$9:$V$38,MATCH($C76,Prognoza!$C$9:$C$38,0),8),"")),"")))</f>
        <v>0</v>
      </c>
      <c r="J76" s="35">
        <f>IF(C76="","",IF(Plan!F14="Run",IF(ISNUMBER(INDEX(Parametry!$H$18:$S$18,1,8)),INDEX(Parametry!$H$18:$S$18,1,8),""),IF(ISNUMBER(INDEX(Parametry!$H$24:$S$24,1,8)),INDEX(Parametry!$H$24:$S$24,1,8),"")))</f>
        <v>0</v>
      </c>
      <c r="K76" s="34">
        <f>IF(C76="","",IF(8&lt;=Parametry!$G$7,0,IF(AND(ISNUMBER(I76),ISNUMBER(J76),J76&gt;=-1),I76*(1+J76),"")))</f>
        <v>0</v>
      </c>
      <c r="L76" s="34">
        <f>IF(C76="","",IF(8&lt;=Parametry!$G$7,G76,IF(ISNUMBER(K76),H76+K76,"")))</f>
        <v>0</v>
      </c>
      <c r="M76" s="22">
        <f t="shared" si="2"/>
        <v>0</v>
      </c>
      <c r="N76" s="7">
        <f t="shared" si="3"/>
        <v>0</v>
      </c>
      <c r="O76" s="7"/>
      <c r="P76" s="7"/>
    </row>
    <row r="77" spans="1:16" ht="24" customHeight="1">
      <c r="A77" s="7"/>
      <c r="B77" s="7"/>
      <c r="C77" s="13" t="str">
        <f>IF(Plan!C14="","",Plan!C14)</f>
        <v>IT06</v>
      </c>
      <c r="D77" s="13" t="str">
        <f>IF(C77="","",Plan!D14)</f>
        <v>Projekt WMS</v>
      </c>
      <c r="E77" s="33">
        <f>IF(OR(C77="",Parametry!$G$6=""),"",DATE(Parametry!$G$6,9,1))</f>
        <v>46631</v>
      </c>
      <c r="F77" s="34">
        <f>IF(C77="","",Plan!S14)</f>
        <v>80000</v>
      </c>
      <c r="G77" s="34">
        <f>IF(C77="","",SUMIFS(ERP!$I$9:$I$1008,ERP!$L$9:$L$1008,C77,ERP!$N$9:$N$1008,1,ERP!$M$9:$M$1008,9))</f>
        <v>0</v>
      </c>
      <c r="H77" s="34">
        <f>IF(C77="","",IF(9&lt;=Parametry!$G$7,0,SUMIFS(Umowy!$N$9:$N$108,Umowy!$D$9:$D$108,C77,Umowy!$O$9:$O$108,9)))</f>
        <v>80000</v>
      </c>
      <c r="I77" s="34">
        <f>IF(C77="","",IF(9&lt;=Parametry!$G$7,0,IF(COUNTIFS(Prognoza!$C$9:$C$38,C77)=1,IF(ISBLANK(INDEX(Prognoza!$K$9:$V$38,MATCH($C77,Prognoza!$C$9:$C$38,0),9)),"",IF(ISNUMBER(INDEX(Prognoza!$K$9:$V$38,MATCH($C77,Prognoza!$C$9:$C$38,0),9)),INDEX(Prognoza!$K$9:$V$38,MATCH($C77,Prognoza!$C$9:$C$38,0),9),"")),"")))</f>
        <v>0</v>
      </c>
      <c r="J77" s="35">
        <f>IF(C77="","",IF(Plan!F14="Run",IF(ISNUMBER(INDEX(Parametry!$H$18:$S$18,1,9)),INDEX(Parametry!$H$18:$S$18,1,9),""),IF(ISNUMBER(INDEX(Parametry!$H$24:$S$24,1,9)),INDEX(Parametry!$H$24:$S$24,1,9),"")))</f>
        <v>0</v>
      </c>
      <c r="K77" s="34">
        <f>IF(C77="","",IF(9&lt;=Parametry!$G$7,0,IF(AND(ISNUMBER(I77),ISNUMBER(J77),J77&gt;=-1),I77*(1+J77),"")))</f>
        <v>0</v>
      </c>
      <c r="L77" s="34">
        <f>IF(C77="","",IF(9&lt;=Parametry!$G$7,G77,IF(ISNUMBER(K77),H77+K77,"")))</f>
        <v>80000</v>
      </c>
      <c r="M77" s="22">
        <f t="shared" si="2"/>
        <v>0</v>
      </c>
      <c r="N77" s="7">
        <f t="shared" si="3"/>
        <v>0</v>
      </c>
      <c r="O77" s="7"/>
      <c r="P77" s="7"/>
    </row>
    <row r="78" spans="1:16" ht="24" customHeight="1">
      <c r="A78" s="7"/>
      <c r="B78" s="7"/>
      <c r="C78" s="13" t="str">
        <f>IF(Plan!C14="","",Plan!C14)</f>
        <v>IT06</v>
      </c>
      <c r="D78" s="13" t="str">
        <f>IF(C78="","",Plan!D14)</f>
        <v>Projekt WMS</v>
      </c>
      <c r="E78" s="33">
        <f>IF(OR(C78="",Parametry!$G$6=""),"",DATE(Parametry!$G$6,10,1))</f>
        <v>46661</v>
      </c>
      <c r="F78" s="34">
        <f>IF(C78="","",Plan!T14)</f>
        <v>0</v>
      </c>
      <c r="G78" s="34">
        <f>IF(C78="","",SUMIFS(ERP!$I$9:$I$1008,ERP!$L$9:$L$1008,C78,ERP!$N$9:$N$1008,1,ERP!$M$9:$M$1008,10))</f>
        <v>0</v>
      </c>
      <c r="H78" s="34">
        <f>IF(C78="","",IF(10&lt;=Parametry!$G$7,0,SUMIFS(Umowy!$N$9:$N$108,Umowy!$D$9:$D$108,C78,Umowy!$O$9:$O$108,10)))</f>
        <v>0</v>
      </c>
      <c r="I78" s="34">
        <f>IF(C78="","",IF(10&lt;=Parametry!$G$7,0,IF(COUNTIFS(Prognoza!$C$9:$C$38,C78)=1,IF(ISBLANK(INDEX(Prognoza!$K$9:$V$38,MATCH($C78,Prognoza!$C$9:$C$38,0),10)),"",IF(ISNUMBER(INDEX(Prognoza!$K$9:$V$38,MATCH($C78,Prognoza!$C$9:$C$38,0),10)),INDEX(Prognoza!$K$9:$V$38,MATCH($C78,Prognoza!$C$9:$C$38,0),10),"")),"")))</f>
        <v>0</v>
      </c>
      <c r="J78" s="35">
        <f>IF(C78="","",IF(Plan!F14="Run",IF(ISNUMBER(INDEX(Parametry!$H$18:$S$18,1,10)),INDEX(Parametry!$H$18:$S$18,1,10),""),IF(ISNUMBER(INDEX(Parametry!$H$24:$S$24,1,10)),INDEX(Parametry!$H$24:$S$24,1,10),"")))</f>
        <v>0</v>
      </c>
      <c r="K78" s="34">
        <f>IF(C78="","",IF(10&lt;=Parametry!$G$7,0,IF(AND(ISNUMBER(I78),ISNUMBER(J78),J78&gt;=-1),I78*(1+J78),"")))</f>
        <v>0</v>
      </c>
      <c r="L78" s="34">
        <f>IF(C78="","",IF(10&lt;=Parametry!$G$7,G78,IF(ISNUMBER(K78),H78+K78,"")))</f>
        <v>0</v>
      </c>
      <c r="M78" s="22">
        <f t="shared" si="2"/>
        <v>0</v>
      </c>
      <c r="N78" s="7">
        <f t="shared" si="3"/>
        <v>0</v>
      </c>
      <c r="O78" s="7"/>
      <c r="P78" s="7"/>
    </row>
    <row r="79" spans="1:16" ht="24" customHeight="1">
      <c r="A79" s="7"/>
      <c r="B79" s="7"/>
      <c r="C79" s="13" t="str">
        <f>IF(Plan!C14="","",Plan!C14)</f>
        <v>IT06</v>
      </c>
      <c r="D79" s="13" t="str">
        <f>IF(C79="","",Plan!D14)</f>
        <v>Projekt WMS</v>
      </c>
      <c r="E79" s="33">
        <f>IF(OR(C79="",Parametry!$G$6=""),"",DATE(Parametry!$G$6,11,1))</f>
        <v>46692</v>
      </c>
      <c r="F79" s="34">
        <f>IF(C79="","",Plan!U14)</f>
        <v>0</v>
      </c>
      <c r="G79" s="34">
        <f>IF(C79="","",SUMIFS(ERP!$I$9:$I$1008,ERP!$L$9:$L$1008,C79,ERP!$N$9:$N$1008,1,ERP!$M$9:$M$1008,11))</f>
        <v>0</v>
      </c>
      <c r="H79" s="34">
        <f>IF(C79="","",IF(11&lt;=Parametry!$G$7,0,SUMIFS(Umowy!$N$9:$N$108,Umowy!$D$9:$D$108,C79,Umowy!$O$9:$O$108,11)))</f>
        <v>0</v>
      </c>
      <c r="I79" s="34">
        <f>IF(C79="","",IF(11&lt;=Parametry!$G$7,0,IF(COUNTIFS(Prognoza!$C$9:$C$38,C79)=1,IF(ISBLANK(INDEX(Prognoza!$K$9:$V$38,MATCH($C79,Prognoza!$C$9:$C$38,0),11)),"",IF(ISNUMBER(INDEX(Prognoza!$K$9:$V$38,MATCH($C79,Prognoza!$C$9:$C$38,0),11)),INDEX(Prognoza!$K$9:$V$38,MATCH($C79,Prognoza!$C$9:$C$38,0),11),"")),"")))</f>
        <v>0</v>
      </c>
      <c r="J79" s="35">
        <f>IF(C79="","",IF(Plan!F14="Run",IF(ISNUMBER(INDEX(Parametry!$H$18:$S$18,1,11)),INDEX(Parametry!$H$18:$S$18,1,11),""),IF(ISNUMBER(INDEX(Parametry!$H$24:$S$24,1,11)),INDEX(Parametry!$H$24:$S$24,1,11),"")))</f>
        <v>0</v>
      </c>
      <c r="K79" s="34">
        <f>IF(C79="","",IF(11&lt;=Parametry!$G$7,0,IF(AND(ISNUMBER(I79),ISNUMBER(J79),J79&gt;=-1),I79*(1+J79),"")))</f>
        <v>0</v>
      </c>
      <c r="L79" s="34">
        <f>IF(C79="","",IF(11&lt;=Parametry!$G$7,G79,IF(ISNUMBER(K79),H79+K79,"")))</f>
        <v>0</v>
      </c>
      <c r="M79" s="22">
        <f t="shared" si="2"/>
        <v>0</v>
      </c>
      <c r="N79" s="7">
        <f t="shared" si="3"/>
        <v>0</v>
      </c>
      <c r="O79" s="7"/>
      <c r="P79" s="7"/>
    </row>
    <row r="80" spans="1:16" ht="24" customHeight="1">
      <c r="A80" s="7"/>
      <c r="B80" s="7"/>
      <c r="C80" s="13" t="str">
        <f>IF(Plan!C14="","",Plan!C14)</f>
        <v>IT06</v>
      </c>
      <c r="D80" s="13" t="str">
        <f>IF(C80="","",Plan!D14)</f>
        <v>Projekt WMS</v>
      </c>
      <c r="E80" s="33">
        <f>IF(OR(C80="",Parametry!$G$6=""),"",DATE(Parametry!$G$6,12,1))</f>
        <v>46722</v>
      </c>
      <c r="F80" s="34">
        <f>IF(C80="","",Plan!V14)</f>
        <v>0</v>
      </c>
      <c r="G80" s="34">
        <f>IF(C80="","",SUMIFS(ERP!$I$9:$I$1008,ERP!$L$9:$L$1008,C80,ERP!$N$9:$N$1008,1,ERP!$M$9:$M$1008,12))</f>
        <v>0</v>
      </c>
      <c r="H80" s="34">
        <f>IF(C80="","",IF(12&lt;=Parametry!$G$7,0,SUMIFS(Umowy!$N$9:$N$108,Umowy!$D$9:$D$108,C80,Umowy!$O$9:$O$108,12)))</f>
        <v>0</v>
      </c>
      <c r="I80" s="34">
        <f>IF(C80="","",IF(12&lt;=Parametry!$G$7,0,IF(COUNTIFS(Prognoza!$C$9:$C$38,C80)=1,IF(ISBLANK(INDEX(Prognoza!$K$9:$V$38,MATCH($C80,Prognoza!$C$9:$C$38,0),12)),"",IF(ISNUMBER(INDEX(Prognoza!$K$9:$V$38,MATCH($C80,Prognoza!$C$9:$C$38,0),12)),INDEX(Prognoza!$K$9:$V$38,MATCH($C80,Prognoza!$C$9:$C$38,0),12),"")),"")))</f>
        <v>0</v>
      </c>
      <c r="J80" s="35">
        <f>IF(C80="","",IF(Plan!F14="Run",IF(ISNUMBER(INDEX(Parametry!$H$18:$S$18,1,12)),INDEX(Parametry!$H$18:$S$18,1,12),""),IF(ISNUMBER(INDEX(Parametry!$H$24:$S$24,1,12)),INDEX(Parametry!$H$24:$S$24,1,12),"")))</f>
        <v>0</v>
      </c>
      <c r="K80" s="34">
        <f>IF(C80="","",IF(12&lt;=Parametry!$G$7,0,IF(AND(ISNUMBER(I80),ISNUMBER(J80),J80&gt;=-1),I80*(1+J80),"")))</f>
        <v>0</v>
      </c>
      <c r="L80" s="34">
        <f>IF(C80="","",IF(12&lt;=Parametry!$G$7,G80,IF(ISNUMBER(K80),H80+K80,"")))</f>
        <v>0</v>
      </c>
      <c r="M80" s="22">
        <f t="shared" si="2"/>
        <v>0</v>
      </c>
      <c r="N80" s="7">
        <f t="shared" si="3"/>
        <v>0</v>
      </c>
      <c r="O80" s="7"/>
      <c r="P80" s="7"/>
    </row>
    <row r="81" spans="1:16" ht="24" customHeight="1">
      <c r="A81" s="7"/>
      <c r="B81" s="7"/>
      <c r="C81" s="13" t="str">
        <f>IF(Plan!C15="","",Plan!C15)</f>
        <v>IT07</v>
      </c>
      <c r="D81" s="13" t="str">
        <f>IF(C81="","",Plan!D15)</f>
        <v>Projekt MES</v>
      </c>
      <c r="E81" s="33">
        <f>IF(OR(C81="",Parametry!$G$6=""),"",DATE(Parametry!$G$6,1,1))</f>
        <v>46388</v>
      </c>
      <c r="F81" s="34">
        <f>IF(C81="","",Plan!K15)</f>
        <v>0</v>
      </c>
      <c r="G81" s="34">
        <f>IF(C81="","",SUMIFS(ERP!$I$9:$I$1008,ERP!$L$9:$L$1008,C81,ERP!$N$9:$N$1008,1,ERP!$M$9:$M$1008,1))</f>
        <v>0</v>
      </c>
      <c r="H81" s="34">
        <f>IF(C81="","",IF(1&lt;=Parametry!$G$7,0,SUMIFS(Umowy!$N$9:$N$108,Umowy!$D$9:$D$108,C81,Umowy!$O$9:$O$108,1)))</f>
        <v>0</v>
      </c>
      <c r="I81" s="34">
        <f>IF(C81="","",IF(1&lt;=Parametry!$G$7,0,IF(COUNTIFS(Prognoza!$C$9:$C$38,C81)=1,IF(ISBLANK(INDEX(Prognoza!$K$9:$V$38,MATCH($C81,Prognoza!$C$9:$C$38,0),1)),"",IF(ISNUMBER(INDEX(Prognoza!$K$9:$V$38,MATCH($C81,Prognoza!$C$9:$C$38,0),1)),INDEX(Prognoza!$K$9:$V$38,MATCH($C81,Prognoza!$C$9:$C$38,0),1),"")),"")))</f>
        <v>0</v>
      </c>
      <c r="J81" s="35">
        <f>IF(C81="","",IF(Plan!F15="Run",IF(ISNUMBER(INDEX(Parametry!$H$18:$S$18,1,1)),INDEX(Parametry!$H$18:$S$18,1,1),""),IF(ISNUMBER(INDEX(Parametry!$H$24:$S$24,1,1)),INDEX(Parametry!$H$24:$S$24,1,1),"")))</f>
        <v>0</v>
      </c>
      <c r="K81" s="34">
        <f>IF(C81="","",IF(1&lt;=Parametry!$G$7,0,IF(AND(ISNUMBER(I81),ISNUMBER(J81),J81&gt;=-1),I81*(1+J81),"")))</f>
        <v>0</v>
      </c>
      <c r="L81" s="34">
        <f>IF(C81="","",IF(1&lt;=Parametry!$G$7,G81,IF(ISNUMBER(K81),H81+K81,"")))</f>
        <v>0</v>
      </c>
      <c r="M81" s="22">
        <f t="shared" si="2"/>
        <v>0</v>
      </c>
      <c r="N81" s="7">
        <f t="shared" si="3"/>
        <v>0</v>
      </c>
      <c r="O81" s="7"/>
      <c r="P81" s="7"/>
    </row>
    <row r="82" spans="1:16" ht="24" customHeight="1">
      <c r="A82" s="7"/>
      <c r="B82" s="7"/>
      <c r="C82" s="13" t="str">
        <f>IF(Plan!C15="","",Plan!C15)</f>
        <v>IT07</v>
      </c>
      <c r="D82" s="13" t="str">
        <f>IF(C82="","",Plan!D15)</f>
        <v>Projekt MES</v>
      </c>
      <c r="E82" s="33">
        <f>IF(OR(C82="",Parametry!$G$6=""),"",DATE(Parametry!$G$6,2,1))</f>
        <v>46419</v>
      </c>
      <c r="F82" s="34">
        <f>IF(C82="","",Plan!L15)</f>
        <v>0</v>
      </c>
      <c r="G82" s="34">
        <f>IF(C82="","",SUMIFS(ERP!$I$9:$I$1008,ERP!$L$9:$L$1008,C82,ERP!$N$9:$N$1008,1,ERP!$M$9:$M$1008,2))</f>
        <v>0</v>
      </c>
      <c r="H82" s="34">
        <f>IF(C82="","",IF(2&lt;=Parametry!$G$7,0,SUMIFS(Umowy!$N$9:$N$108,Umowy!$D$9:$D$108,C82,Umowy!$O$9:$O$108,2)))</f>
        <v>0</v>
      </c>
      <c r="I82" s="34">
        <f>IF(C82="","",IF(2&lt;=Parametry!$G$7,0,IF(COUNTIFS(Prognoza!$C$9:$C$38,C82)=1,IF(ISBLANK(INDEX(Prognoza!$K$9:$V$38,MATCH($C82,Prognoza!$C$9:$C$38,0),2)),"",IF(ISNUMBER(INDEX(Prognoza!$K$9:$V$38,MATCH($C82,Prognoza!$C$9:$C$38,0),2)),INDEX(Prognoza!$K$9:$V$38,MATCH($C82,Prognoza!$C$9:$C$38,0),2),"")),"")))</f>
        <v>0</v>
      </c>
      <c r="J82" s="35">
        <f>IF(C82="","",IF(Plan!F15="Run",IF(ISNUMBER(INDEX(Parametry!$H$18:$S$18,1,2)),INDEX(Parametry!$H$18:$S$18,1,2),""),IF(ISNUMBER(INDEX(Parametry!$H$24:$S$24,1,2)),INDEX(Parametry!$H$24:$S$24,1,2),"")))</f>
        <v>0</v>
      </c>
      <c r="K82" s="34">
        <f>IF(C82="","",IF(2&lt;=Parametry!$G$7,0,IF(AND(ISNUMBER(I82),ISNUMBER(J82),J82&gt;=-1),I82*(1+J82),"")))</f>
        <v>0</v>
      </c>
      <c r="L82" s="34">
        <f>IF(C82="","",IF(2&lt;=Parametry!$G$7,G82,IF(ISNUMBER(K82),H82+K82,"")))</f>
        <v>0</v>
      </c>
      <c r="M82" s="22">
        <f t="shared" si="2"/>
        <v>0</v>
      </c>
      <c r="N82" s="7">
        <f t="shared" si="3"/>
        <v>0</v>
      </c>
      <c r="O82" s="7"/>
      <c r="P82" s="7"/>
    </row>
    <row r="83" spans="1:16" ht="24" customHeight="1">
      <c r="A83" s="7"/>
      <c r="B83" s="7"/>
      <c r="C83" s="13" t="str">
        <f>IF(Plan!C15="","",Plan!C15)</f>
        <v>IT07</v>
      </c>
      <c r="D83" s="13" t="str">
        <f>IF(C83="","",Plan!D15)</f>
        <v>Projekt MES</v>
      </c>
      <c r="E83" s="33">
        <f>IF(OR(C83="",Parametry!$G$6=""),"",DATE(Parametry!$G$6,3,1))</f>
        <v>46447</v>
      </c>
      <c r="F83" s="34">
        <f>IF(C83="","",Plan!M15)</f>
        <v>0</v>
      </c>
      <c r="G83" s="34">
        <f>IF(C83="","",SUMIFS(ERP!$I$9:$I$1008,ERP!$L$9:$L$1008,C83,ERP!$N$9:$N$1008,1,ERP!$M$9:$M$1008,3))</f>
        <v>0</v>
      </c>
      <c r="H83" s="34">
        <f>IF(C83="","",IF(3&lt;=Parametry!$G$7,0,SUMIFS(Umowy!$N$9:$N$108,Umowy!$D$9:$D$108,C83,Umowy!$O$9:$O$108,3)))</f>
        <v>0</v>
      </c>
      <c r="I83" s="34">
        <f>IF(C83="","",IF(3&lt;=Parametry!$G$7,0,IF(COUNTIFS(Prognoza!$C$9:$C$38,C83)=1,IF(ISBLANK(INDEX(Prognoza!$K$9:$V$38,MATCH($C83,Prognoza!$C$9:$C$38,0),3)),"",IF(ISNUMBER(INDEX(Prognoza!$K$9:$V$38,MATCH($C83,Prognoza!$C$9:$C$38,0),3)),INDEX(Prognoza!$K$9:$V$38,MATCH($C83,Prognoza!$C$9:$C$38,0),3),"")),"")))</f>
        <v>0</v>
      </c>
      <c r="J83" s="35">
        <f>IF(C83="","",IF(Plan!F15="Run",IF(ISNUMBER(INDEX(Parametry!$H$18:$S$18,1,3)),INDEX(Parametry!$H$18:$S$18,1,3),""),IF(ISNUMBER(INDEX(Parametry!$H$24:$S$24,1,3)),INDEX(Parametry!$H$24:$S$24,1,3),"")))</f>
        <v>0</v>
      </c>
      <c r="K83" s="34">
        <f>IF(C83="","",IF(3&lt;=Parametry!$G$7,0,IF(AND(ISNUMBER(I83),ISNUMBER(J83),J83&gt;=-1),I83*(1+J83),"")))</f>
        <v>0</v>
      </c>
      <c r="L83" s="34">
        <f>IF(C83="","",IF(3&lt;=Parametry!$G$7,G83,IF(ISNUMBER(K83),H83+K83,"")))</f>
        <v>0</v>
      </c>
      <c r="M83" s="22">
        <f t="shared" si="2"/>
        <v>0</v>
      </c>
      <c r="N83" s="7">
        <f t="shared" si="3"/>
        <v>0</v>
      </c>
      <c r="O83" s="7"/>
      <c r="P83" s="7"/>
    </row>
    <row r="84" spans="1:16" ht="24" customHeight="1">
      <c r="A84" s="7"/>
      <c r="B84" s="7"/>
      <c r="C84" s="13" t="str">
        <f>IF(Plan!C15="","",Plan!C15)</f>
        <v>IT07</v>
      </c>
      <c r="D84" s="13" t="str">
        <f>IF(C84="","",Plan!D15)</f>
        <v>Projekt MES</v>
      </c>
      <c r="E84" s="33">
        <f>IF(OR(C84="",Parametry!$G$6=""),"",DATE(Parametry!$G$6,4,1))</f>
        <v>46478</v>
      </c>
      <c r="F84" s="34">
        <f>IF(C84="","",Plan!N15)</f>
        <v>0</v>
      </c>
      <c r="G84" s="34">
        <f>IF(C84="","",SUMIFS(ERP!$I$9:$I$1008,ERP!$L$9:$L$1008,C84,ERP!$N$9:$N$1008,1,ERP!$M$9:$M$1008,4))</f>
        <v>0</v>
      </c>
      <c r="H84" s="34">
        <f>IF(C84="","",IF(4&lt;=Parametry!$G$7,0,SUMIFS(Umowy!$N$9:$N$108,Umowy!$D$9:$D$108,C84,Umowy!$O$9:$O$108,4)))</f>
        <v>0</v>
      </c>
      <c r="I84" s="34">
        <f>IF(C84="","",IF(4&lt;=Parametry!$G$7,0,IF(COUNTIFS(Prognoza!$C$9:$C$38,C84)=1,IF(ISBLANK(INDEX(Prognoza!$K$9:$V$38,MATCH($C84,Prognoza!$C$9:$C$38,0),4)),"",IF(ISNUMBER(INDEX(Prognoza!$K$9:$V$38,MATCH($C84,Prognoza!$C$9:$C$38,0),4)),INDEX(Prognoza!$K$9:$V$38,MATCH($C84,Prognoza!$C$9:$C$38,0),4),"")),"")))</f>
        <v>0</v>
      </c>
      <c r="J84" s="35">
        <f>IF(C84="","",IF(Plan!F15="Run",IF(ISNUMBER(INDEX(Parametry!$H$18:$S$18,1,4)),INDEX(Parametry!$H$18:$S$18,1,4),""),IF(ISNUMBER(INDEX(Parametry!$H$24:$S$24,1,4)),INDEX(Parametry!$H$24:$S$24,1,4),"")))</f>
        <v>0</v>
      </c>
      <c r="K84" s="34">
        <f>IF(C84="","",IF(4&lt;=Parametry!$G$7,0,IF(AND(ISNUMBER(I84),ISNUMBER(J84),J84&gt;=-1),I84*(1+J84),"")))</f>
        <v>0</v>
      </c>
      <c r="L84" s="34">
        <f>IF(C84="","",IF(4&lt;=Parametry!$G$7,G84,IF(ISNUMBER(K84),H84+K84,"")))</f>
        <v>0</v>
      </c>
      <c r="M84" s="22">
        <f t="shared" si="2"/>
        <v>0</v>
      </c>
      <c r="N84" s="7">
        <f t="shared" si="3"/>
        <v>0</v>
      </c>
      <c r="O84" s="7"/>
      <c r="P84" s="7"/>
    </row>
    <row r="85" spans="1:16" ht="24" customHeight="1">
      <c r="A85" s="7"/>
      <c r="B85" s="7"/>
      <c r="C85" s="13" t="str">
        <f>IF(Plan!C15="","",Plan!C15)</f>
        <v>IT07</v>
      </c>
      <c r="D85" s="13" t="str">
        <f>IF(C85="","",Plan!D15)</f>
        <v>Projekt MES</v>
      </c>
      <c r="E85" s="33">
        <f>IF(OR(C85="",Parametry!$G$6=""),"",DATE(Parametry!$G$6,5,1))</f>
        <v>46508</v>
      </c>
      <c r="F85" s="34">
        <f>IF(C85="","",Plan!O15)</f>
        <v>0</v>
      </c>
      <c r="G85" s="34">
        <f>IF(C85="","",SUMIFS(ERP!$I$9:$I$1008,ERP!$L$9:$L$1008,C85,ERP!$N$9:$N$1008,1,ERP!$M$9:$M$1008,5))</f>
        <v>0</v>
      </c>
      <c r="H85" s="34">
        <f>IF(C85="","",IF(5&lt;=Parametry!$G$7,0,SUMIFS(Umowy!$N$9:$N$108,Umowy!$D$9:$D$108,C85,Umowy!$O$9:$O$108,5)))</f>
        <v>0</v>
      </c>
      <c r="I85" s="34">
        <f>IF(C85="","",IF(5&lt;=Parametry!$G$7,0,IF(COUNTIFS(Prognoza!$C$9:$C$38,C85)=1,IF(ISBLANK(INDEX(Prognoza!$K$9:$V$38,MATCH($C85,Prognoza!$C$9:$C$38,0),5)),"",IF(ISNUMBER(INDEX(Prognoza!$K$9:$V$38,MATCH($C85,Prognoza!$C$9:$C$38,0),5)),INDEX(Prognoza!$K$9:$V$38,MATCH($C85,Prognoza!$C$9:$C$38,0),5),"")),"")))</f>
        <v>0</v>
      </c>
      <c r="J85" s="35">
        <f>IF(C85="","",IF(Plan!F15="Run",IF(ISNUMBER(INDEX(Parametry!$H$18:$S$18,1,5)),INDEX(Parametry!$H$18:$S$18,1,5),""),IF(ISNUMBER(INDEX(Parametry!$H$24:$S$24,1,5)),INDEX(Parametry!$H$24:$S$24,1,5),"")))</f>
        <v>0</v>
      </c>
      <c r="K85" s="34">
        <f>IF(C85="","",IF(5&lt;=Parametry!$G$7,0,IF(AND(ISNUMBER(I85),ISNUMBER(J85),J85&gt;=-1),I85*(1+J85),"")))</f>
        <v>0</v>
      </c>
      <c r="L85" s="34">
        <f>IF(C85="","",IF(5&lt;=Parametry!$G$7,G85,IF(ISNUMBER(K85),H85+K85,"")))</f>
        <v>0</v>
      </c>
      <c r="M85" s="22">
        <f t="shared" si="2"/>
        <v>0</v>
      </c>
      <c r="N85" s="7">
        <f t="shared" si="3"/>
        <v>0</v>
      </c>
      <c r="O85" s="7"/>
      <c r="P85" s="7"/>
    </row>
    <row r="86" spans="1:16" ht="24" customHeight="1">
      <c r="A86" s="7"/>
      <c r="B86" s="7"/>
      <c r="C86" s="13" t="str">
        <f>IF(Plan!C15="","",Plan!C15)</f>
        <v>IT07</v>
      </c>
      <c r="D86" s="13" t="str">
        <f>IF(C86="","",Plan!D15)</f>
        <v>Projekt MES</v>
      </c>
      <c r="E86" s="33">
        <f>IF(OR(C86="",Parametry!$G$6=""),"",DATE(Parametry!$G$6,6,1))</f>
        <v>46539</v>
      </c>
      <c r="F86" s="34">
        <f>IF(C86="","",Plan!P15)</f>
        <v>0</v>
      </c>
      <c r="G86" s="34">
        <f>IF(C86="","",SUMIFS(ERP!$I$9:$I$1008,ERP!$L$9:$L$1008,C86,ERP!$N$9:$N$1008,1,ERP!$M$9:$M$1008,6))</f>
        <v>0</v>
      </c>
      <c r="H86" s="34">
        <f>IF(C86="","",IF(6&lt;=Parametry!$G$7,0,SUMIFS(Umowy!$N$9:$N$108,Umowy!$D$9:$D$108,C86,Umowy!$O$9:$O$108,6)))</f>
        <v>0</v>
      </c>
      <c r="I86" s="34">
        <f>IF(C86="","",IF(6&lt;=Parametry!$G$7,0,IF(COUNTIFS(Prognoza!$C$9:$C$38,C86)=1,IF(ISBLANK(INDEX(Prognoza!$K$9:$V$38,MATCH($C86,Prognoza!$C$9:$C$38,0),6)),"",IF(ISNUMBER(INDEX(Prognoza!$K$9:$V$38,MATCH($C86,Prognoza!$C$9:$C$38,0),6)),INDEX(Prognoza!$K$9:$V$38,MATCH($C86,Prognoza!$C$9:$C$38,0),6),"")),"")))</f>
        <v>0</v>
      </c>
      <c r="J86" s="35">
        <f>IF(C86="","",IF(Plan!F15="Run",IF(ISNUMBER(INDEX(Parametry!$H$18:$S$18,1,6)),INDEX(Parametry!$H$18:$S$18,1,6),""),IF(ISNUMBER(INDEX(Parametry!$H$24:$S$24,1,6)),INDEX(Parametry!$H$24:$S$24,1,6),"")))</f>
        <v>0</v>
      </c>
      <c r="K86" s="34">
        <f>IF(C86="","",IF(6&lt;=Parametry!$G$7,0,IF(AND(ISNUMBER(I86),ISNUMBER(J86),J86&gt;=-1),I86*(1+J86),"")))</f>
        <v>0</v>
      </c>
      <c r="L86" s="34">
        <f>IF(C86="","",IF(6&lt;=Parametry!$G$7,G86,IF(ISNUMBER(K86),H86+K86,"")))</f>
        <v>0</v>
      </c>
      <c r="M86" s="22">
        <f t="shared" si="2"/>
        <v>0</v>
      </c>
      <c r="N86" s="7">
        <f t="shared" si="3"/>
        <v>0</v>
      </c>
      <c r="O86" s="7"/>
      <c r="P86" s="7"/>
    </row>
    <row r="87" spans="1:16" ht="24" customHeight="1">
      <c r="A87" s="7"/>
      <c r="B87" s="7"/>
      <c r="C87" s="13" t="str">
        <f>IF(Plan!C15="","",Plan!C15)</f>
        <v>IT07</v>
      </c>
      <c r="D87" s="13" t="str">
        <f>IF(C87="","",Plan!D15)</f>
        <v>Projekt MES</v>
      </c>
      <c r="E87" s="33">
        <f>IF(OR(C87="",Parametry!$G$6=""),"",DATE(Parametry!$G$6,7,1))</f>
        <v>46569</v>
      </c>
      <c r="F87" s="34">
        <f>IF(C87="","",Plan!Q15)</f>
        <v>0</v>
      </c>
      <c r="G87" s="34">
        <f>IF(C87="","",SUMIFS(ERP!$I$9:$I$1008,ERP!$L$9:$L$1008,C87,ERP!$N$9:$N$1008,1,ERP!$M$9:$M$1008,7))</f>
        <v>0</v>
      </c>
      <c r="H87" s="34">
        <f>IF(C87="","",IF(7&lt;=Parametry!$G$7,0,SUMIFS(Umowy!$N$9:$N$108,Umowy!$D$9:$D$108,C87,Umowy!$O$9:$O$108,7)))</f>
        <v>0</v>
      </c>
      <c r="I87" s="34">
        <f>IF(C87="","",IF(7&lt;=Parametry!$G$7,0,IF(COUNTIFS(Prognoza!$C$9:$C$38,C87)=1,IF(ISBLANK(INDEX(Prognoza!$K$9:$V$38,MATCH($C87,Prognoza!$C$9:$C$38,0),7)),"",IF(ISNUMBER(INDEX(Prognoza!$K$9:$V$38,MATCH($C87,Prognoza!$C$9:$C$38,0),7)),INDEX(Prognoza!$K$9:$V$38,MATCH($C87,Prognoza!$C$9:$C$38,0),7),"")),"")))</f>
        <v>0</v>
      </c>
      <c r="J87" s="35">
        <f>IF(C87="","",IF(Plan!F15="Run",IF(ISNUMBER(INDEX(Parametry!$H$18:$S$18,1,7)),INDEX(Parametry!$H$18:$S$18,1,7),""),IF(ISNUMBER(INDEX(Parametry!$H$24:$S$24,1,7)),INDEX(Parametry!$H$24:$S$24,1,7),"")))</f>
        <v>0</v>
      </c>
      <c r="K87" s="34">
        <f>IF(C87="","",IF(7&lt;=Parametry!$G$7,0,IF(AND(ISNUMBER(I87),ISNUMBER(J87),J87&gt;=-1),I87*(1+J87),"")))</f>
        <v>0</v>
      </c>
      <c r="L87" s="34">
        <f>IF(C87="","",IF(7&lt;=Parametry!$G$7,G87,IF(ISNUMBER(K87),H87+K87,"")))</f>
        <v>0</v>
      </c>
      <c r="M87" s="22">
        <f t="shared" si="2"/>
        <v>0</v>
      </c>
      <c r="N87" s="7">
        <f t="shared" si="3"/>
        <v>0</v>
      </c>
      <c r="O87" s="7"/>
      <c r="P87" s="7"/>
    </row>
    <row r="88" spans="1:16" ht="24" customHeight="1">
      <c r="A88" s="7"/>
      <c r="B88" s="7"/>
      <c r="C88" s="13" t="str">
        <f>IF(Plan!C15="","",Plan!C15)</f>
        <v>IT07</v>
      </c>
      <c r="D88" s="13" t="str">
        <f>IF(C88="","",Plan!D15)</f>
        <v>Projekt MES</v>
      </c>
      <c r="E88" s="33">
        <f>IF(OR(C88="",Parametry!$G$6=""),"",DATE(Parametry!$G$6,8,1))</f>
        <v>46600</v>
      </c>
      <c r="F88" s="34">
        <f>IF(C88="","",Plan!R15)</f>
        <v>0</v>
      </c>
      <c r="G88" s="34">
        <f>IF(C88="","",SUMIFS(ERP!$I$9:$I$1008,ERP!$L$9:$L$1008,C88,ERP!$N$9:$N$1008,1,ERP!$M$9:$M$1008,8))</f>
        <v>0</v>
      </c>
      <c r="H88" s="34">
        <f>IF(C88="","",IF(8&lt;=Parametry!$G$7,0,SUMIFS(Umowy!$N$9:$N$108,Umowy!$D$9:$D$108,C88,Umowy!$O$9:$O$108,8)))</f>
        <v>0</v>
      </c>
      <c r="I88" s="34">
        <f>IF(C88="","",IF(8&lt;=Parametry!$G$7,0,IF(COUNTIFS(Prognoza!$C$9:$C$38,C88)=1,IF(ISBLANK(INDEX(Prognoza!$K$9:$V$38,MATCH($C88,Prognoza!$C$9:$C$38,0),8)),"",IF(ISNUMBER(INDEX(Prognoza!$K$9:$V$38,MATCH($C88,Prognoza!$C$9:$C$38,0),8)),INDEX(Prognoza!$K$9:$V$38,MATCH($C88,Prognoza!$C$9:$C$38,0),8),"")),"")))</f>
        <v>0</v>
      </c>
      <c r="J88" s="35">
        <f>IF(C88="","",IF(Plan!F15="Run",IF(ISNUMBER(INDEX(Parametry!$H$18:$S$18,1,8)),INDEX(Parametry!$H$18:$S$18,1,8),""),IF(ISNUMBER(INDEX(Parametry!$H$24:$S$24,1,8)),INDEX(Parametry!$H$24:$S$24,1,8),"")))</f>
        <v>0</v>
      </c>
      <c r="K88" s="34">
        <f>IF(C88="","",IF(8&lt;=Parametry!$G$7,0,IF(AND(ISNUMBER(I88),ISNUMBER(J88),J88&gt;=-1),I88*(1+J88),"")))</f>
        <v>0</v>
      </c>
      <c r="L88" s="34">
        <f>IF(C88="","",IF(8&lt;=Parametry!$G$7,G88,IF(ISNUMBER(K88),H88+K88,"")))</f>
        <v>0</v>
      </c>
      <c r="M88" s="22">
        <f t="shared" si="2"/>
        <v>0</v>
      </c>
      <c r="N88" s="7">
        <f t="shared" si="3"/>
        <v>0</v>
      </c>
      <c r="O88" s="7"/>
      <c r="P88" s="7"/>
    </row>
    <row r="89" spans="1:16" ht="24" customHeight="1">
      <c r="A89" s="7"/>
      <c r="B89" s="7"/>
      <c r="C89" s="13" t="str">
        <f>IF(Plan!C15="","",Plan!C15)</f>
        <v>IT07</v>
      </c>
      <c r="D89" s="13" t="str">
        <f>IF(C89="","",Plan!D15)</f>
        <v>Projekt MES</v>
      </c>
      <c r="E89" s="33">
        <f>IF(OR(C89="",Parametry!$G$6=""),"",DATE(Parametry!$G$6,9,1))</f>
        <v>46631</v>
      </c>
      <c r="F89" s="34">
        <f>IF(C89="","",Plan!S15)</f>
        <v>0</v>
      </c>
      <c r="G89" s="34">
        <f>IF(C89="","",SUMIFS(ERP!$I$9:$I$1008,ERP!$L$9:$L$1008,C89,ERP!$N$9:$N$1008,1,ERP!$M$9:$M$1008,9))</f>
        <v>0</v>
      </c>
      <c r="H89" s="34">
        <f>IF(C89="","",IF(9&lt;=Parametry!$G$7,0,SUMIFS(Umowy!$N$9:$N$108,Umowy!$D$9:$D$108,C89,Umowy!$O$9:$O$108,9)))</f>
        <v>0</v>
      </c>
      <c r="I89" s="34">
        <f>IF(C89="","",IF(9&lt;=Parametry!$G$7,0,IF(COUNTIFS(Prognoza!$C$9:$C$38,C89)=1,IF(ISBLANK(INDEX(Prognoza!$K$9:$V$38,MATCH($C89,Prognoza!$C$9:$C$38,0),9)),"",IF(ISNUMBER(INDEX(Prognoza!$K$9:$V$38,MATCH($C89,Prognoza!$C$9:$C$38,0),9)),INDEX(Prognoza!$K$9:$V$38,MATCH($C89,Prognoza!$C$9:$C$38,0),9),"")),"")))</f>
        <v>0</v>
      </c>
      <c r="J89" s="35">
        <f>IF(C89="","",IF(Plan!F15="Run",IF(ISNUMBER(INDEX(Parametry!$H$18:$S$18,1,9)),INDEX(Parametry!$H$18:$S$18,1,9),""),IF(ISNUMBER(INDEX(Parametry!$H$24:$S$24,1,9)),INDEX(Parametry!$H$24:$S$24,1,9),"")))</f>
        <v>0</v>
      </c>
      <c r="K89" s="34">
        <f>IF(C89="","",IF(9&lt;=Parametry!$G$7,0,IF(AND(ISNUMBER(I89),ISNUMBER(J89),J89&gt;=-1),I89*(1+J89),"")))</f>
        <v>0</v>
      </c>
      <c r="L89" s="34">
        <f>IF(C89="","",IF(9&lt;=Parametry!$G$7,G89,IF(ISNUMBER(K89),H89+K89,"")))</f>
        <v>0</v>
      </c>
      <c r="M89" s="22">
        <f t="shared" si="2"/>
        <v>0</v>
      </c>
      <c r="N89" s="7">
        <f t="shared" si="3"/>
        <v>0</v>
      </c>
      <c r="O89" s="7"/>
      <c r="P89" s="7"/>
    </row>
    <row r="90" spans="1:16" ht="24" customHeight="1">
      <c r="A90" s="7"/>
      <c r="B90" s="7"/>
      <c r="C90" s="13" t="str">
        <f>IF(Plan!C15="","",Plan!C15)</f>
        <v>IT07</v>
      </c>
      <c r="D90" s="13" t="str">
        <f>IF(C90="","",Plan!D15)</f>
        <v>Projekt MES</v>
      </c>
      <c r="E90" s="33">
        <f>IF(OR(C90="",Parametry!$G$6=""),"",DATE(Parametry!$G$6,10,1))</f>
        <v>46661</v>
      </c>
      <c r="F90" s="34">
        <f>IF(C90="","",Plan!T15)</f>
        <v>0</v>
      </c>
      <c r="G90" s="34">
        <f>IF(C90="","",SUMIFS(ERP!$I$9:$I$1008,ERP!$L$9:$L$1008,C90,ERP!$N$9:$N$1008,1,ERP!$M$9:$M$1008,10))</f>
        <v>0</v>
      </c>
      <c r="H90" s="34">
        <f>IF(C90="","",IF(10&lt;=Parametry!$G$7,0,SUMIFS(Umowy!$N$9:$N$108,Umowy!$D$9:$D$108,C90,Umowy!$O$9:$O$108,10)))</f>
        <v>0</v>
      </c>
      <c r="I90" s="34">
        <f>IF(C90="","",IF(10&lt;=Parametry!$G$7,0,IF(COUNTIFS(Prognoza!$C$9:$C$38,C90)=1,IF(ISBLANK(INDEX(Prognoza!$K$9:$V$38,MATCH($C90,Prognoza!$C$9:$C$38,0),10)),"",IF(ISNUMBER(INDEX(Prognoza!$K$9:$V$38,MATCH($C90,Prognoza!$C$9:$C$38,0),10)),INDEX(Prognoza!$K$9:$V$38,MATCH($C90,Prognoza!$C$9:$C$38,0),10),"")),"")))</f>
        <v>0</v>
      </c>
      <c r="J90" s="35">
        <f>IF(C90="","",IF(Plan!F15="Run",IF(ISNUMBER(INDEX(Parametry!$H$18:$S$18,1,10)),INDEX(Parametry!$H$18:$S$18,1,10),""),IF(ISNUMBER(INDEX(Parametry!$H$24:$S$24,1,10)),INDEX(Parametry!$H$24:$S$24,1,10),"")))</f>
        <v>0</v>
      </c>
      <c r="K90" s="34">
        <f>IF(C90="","",IF(10&lt;=Parametry!$G$7,0,IF(AND(ISNUMBER(I90),ISNUMBER(J90),J90&gt;=-1),I90*(1+J90),"")))</f>
        <v>0</v>
      </c>
      <c r="L90" s="34">
        <f>IF(C90="","",IF(10&lt;=Parametry!$G$7,G90,IF(ISNUMBER(K90),H90+K90,"")))</f>
        <v>0</v>
      </c>
      <c r="M90" s="22">
        <f t="shared" si="2"/>
        <v>0</v>
      </c>
      <c r="N90" s="7">
        <f t="shared" si="3"/>
        <v>0</v>
      </c>
      <c r="O90" s="7"/>
      <c r="P90" s="7"/>
    </row>
    <row r="91" spans="1:16" ht="24" customHeight="1">
      <c r="A91" s="7"/>
      <c r="B91" s="7"/>
      <c r="C91" s="13" t="str">
        <f>IF(Plan!C15="","",Plan!C15)</f>
        <v>IT07</v>
      </c>
      <c r="D91" s="13" t="str">
        <f>IF(C91="","",Plan!D15)</f>
        <v>Projekt MES</v>
      </c>
      <c r="E91" s="33">
        <f>IF(OR(C91="",Parametry!$G$6=""),"",DATE(Parametry!$G$6,11,1))</f>
        <v>46692</v>
      </c>
      <c r="F91" s="34">
        <f>IF(C91="","",Plan!U15)</f>
        <v>90000</v>
      </c>
      <c r="G91" s="34">
        <f>IF(C91="","",SUMIFS(ERP!$I$9:$I$1008,ERP!$L$9:$L$1008,C91,ERP!$N$9:$N$1008,1,ERP!$M$9:$M$1008,11))</f>
        <v>0</v>
      </c>
      <c r="H91" s="34">
        <f>IF(C91="","",IF(11&lt;=Parametry!$G$7,0,SUMIFS(Umowy!$N$9:$N$108,Umowy!$D$9:$D$108,C91,Umowy!$O$9:$O$108,11)))</f>
        <v>0</v>
      </c>
      <c r="I91" s="34">
        <f>IF(C91="","",IF(11&lt;=Parametry!$G$7,0,IF(COUNTIFS(Prognoza!$C$9:$C$38,C91)=1,IF(ISBLANK(INDEX(Prognoza!$K$9:$V$38,MATCH($C91,Prognoza!$C$9:$C$38,0),11)),"",IF(ISNUMBER(INDEX(Prognoza!$K$9:$V$38,MATCH($C91,Prognoza!$C$9:$C$38,0),11)),INDEX(Prognoza!$K$9:$V$38,MATCH($C91,Prognoza!$C$9:$C$38,0),11),"")),"")))</f>
        <v>0</v>
      </c>
      <c r="J91" s="35">
        <f>IF(C91="","",IF(Plan!F15="Run",IF(ISNUMBER(INDEX(Parametry!$H$18:$S$18,1,11)),INDEX(Parametry!$H$18:$S$18,1,11),""),IF(ISNUMBER(INDEX(Parametry!$H$24:$S$24,1,11)),INDEX(Parametry!$H$24:$S$24,1,11),"")))</f>
        <v>0</v>
      </c>
      <c r="K91" s="34">
        <f>IF(C91="","",IF(11&lt;=Parametry!$G$7,0,IF(AND(ISNUMBER(I91),ISNUMBER(J91),J91&gt;=-1),I91*(1+J91),"")))</f>
        <v>0</v>
      </c>
      <c r="L91" s="34">
        <f>IF(C91="","",IF(11&lt;=Parametry!$G$7,G91,IF(ISNUMBER(K91),H91+K91,"")))</f>
        <v>0</v>
      </c>
      <c r="M91" s="22">
        <f t="shared" si="2"/>
        <v>-90000</v>
      </c>
      <c r="N91" s="7">
        <f t="shared" si="3"/>
        <v>0</v>
      </c>
      <c r="O91" s="7"/>
      <c r="P91" s="7"/>
    </row>
    <row r="92" spans="1:16" ht="24" customHeight="1">
      <c r="A92" s="7"/>
      <c r="B92" s="7"/>
      <c r="C92" s="13" t="str">
        <f>IF(Plan!C15="","",Plan!C15)</f>
        <v>IT07</v>
      </c>
      <c r="D92" s="13" t="str">
        <f>IF(C92="","",Plan!D15)</f>
        <v>Projekt MES</v>
      </c>
      <c r="E92" s="33">
        <f>IF(OR(C92="",Parametry!$G$6=""),"",DATE(Parametry!$G$6,12,1))</f>
        <v>46722</v>
      </c>
      <c r="F92" s="34">
        <f>IF(C92="","",Plan!V15)</f>
        <v>0</v>
      </c>
      <c r="G92" s="34">
        <f>IF(C92="","",SUMIFS(ERP!$I$9:$I$1008,ERP!$L$9:$L$1008,C92,ERP!$N$9:$N$1008,1,ERP!$M$9:$M$1008,12))</f>
        <v>0</v>
      </c>
      <c r="H92" s="34">
        <f>IF(C92="","",IF(12&lt;=Parametry!$G$7,0,SUMIFS(Umowy!$N$9:$N$108,Umowy!$D$9:$D$108,C92,Umowy!$O$9:$O$108,12)))</f>
        <v>0</v>
      </c>
      <c r="I92" s="34">
        <f>IF(C92="","",IF(12&lt;=Parametry!$G$7,0,IF(COUNTIFS(Prognoza!$C$9:$C$38,C92)=1,IF(ISBLANK(INDEX(Prognoza!$K$9:$V$38,MATCH($C92,Prognoza!$C$9:$C$38,0),12)),"",IF(ISNUMBER(INDEX(Prognoza!$K$9:$V$38,MATCH($C92,Prognoza!$C$9:$C$38,0),12)),INDEX(Prognoza!$K$9:$V$38,MATCH($C92,Prognoza!$C$9:$C$38,0),12),"")),"")))</f>
        <v>0</v>
      </c>
      <c r="J92" s="35">
        <f>IF(C92="","",IF(Plan!F15="Run",IF(ISNUMBER(INDEX(Parametry!$H$18:$S$18,1,12)),INDEX(Parametry!$H$18:$S$18,1,12),""),IF(ISNUMBER(INDEX(Parametry!$H$24:$S$24,1,12)),INDEX(Parametry!$H$24:$S$24,1,12),"")))</f>
        <v>0</v>
      </c>
      <c r="K92" s="34">
        <f>IF(C92="","",IF(12&lt;=Parametry!$G$7,0,IF(AND(ISNUMBER(I92),ISNUMBER(J92),J92&gt;=-1),I92*(1+J92),"")))</f>
        <v>0</v>
      </c>
      <c r="L92" s="34">
        <f>IF(C92="","",IF(12&lt;=Parametry!$G$7,G92,IF(ISNUMBER(K92),H92+K92,"")))</f>
        <v>0</v>
      </c>
      <c r="M92" s="22">
        <f t="shared" si="2"/>
        <v>0</v>
      </c>
      <c r="N92" s="7">
        <f t="shared" si="3"/>
        <v>0</v>
      </c>
      <c r="O92" s="7"/>
      <c r="P92" s="7"/>
    </row>
    <row r="93" spans="1:16" ht="24" customHeight="1">
      <c r="A93" s="7"/>
      <c r="B93" s="7"/>
      <c r="C93" s="13" t="str">
        <f>IF(Plan!C16="","",Plan!C16)</f>
        <v>IT08</v>
      </c>
      <c r="D93" s="13" t="str">
        <f>IF(C93="","",Plan!D16)</f>
        <v>Usługi chmurowe</v>
      </c>
      <c r="E93" s="33">
        <f>IF(OR(C93="",Parametry!$G$6=""),"",DATE(Parametry!$G$6,1,1))</f>
        <v>46388</v>
      </c>
      <c r="F93" s="34">
        <f>IF(C93="","",Plan!K16)</f>
        <v>6000</v>
      </c>
      <c r="G93" s="34">
        <f>IF(C93="","",SUMIFS(ERP!$I$9:$I$1008,ERP!$L$9:$L$1008,C93,ERP!$N$9:$N$1008,1,ERP!$M$9:$M$1008,1))</f>
        <v>6000</v>
      </c>
      <c r="H93" s="34">
        <f>IF(C93="","",IF(1&lt;=Parametry!$G$7,0,SUMIFS(Umowy!$N$9:$N$108,Umowy!$D$9:$D$108,C93,Umowy!$O$9:$O$108,1)))</f>
        <v>0</v>
      </c>
      <c r="I93" s="34">
        <f>IF(C93="","",IF(1&lt;=Parametry!$G$7,0,IF(COUNTIFS(Prognoza!$C$9:$C$38,C93)=1,IF(ISBLANK(INDEX(Prognoza!$K$9:$V$38,MATCH($C93,Prognoza!$C$9:$C$38,0),1)),"",IF(ISNUMBER(INDEX(Prognoza!$K$9:$V$38,MATCH($C93,Prognoza!$C$9:$C$38,0),1)),INDEX(Prognoza!$K$9:$V$38,MATCH($C93,Prognoza!$C$9:$C$38,0),1),"")),"")))</f>
        <v>0</v>
      </c>
      <c r="J93" s="35">
        <f>IF(C93="","",IF(Plan!F16="Run",IF(ISNUMBER(INDEX(Parametry!$H$18:$S$18,1,1)),INDEX(Parametry!$H$18:$S$18,1,1),""),IF(ISNUMBER(INDEX(Parametry!$H$24:$S$24,1,1)),INDEX(Parametry!$H$24:$S$24,1,1),"")))</f>
        <v>0</v>
      </c>
      <c r="K93" s="34">
        <f>IF(C93="","",IF(1&lt;=Parametry!$G$7,0,IF(AND(ISNUMBER(I93),ISNUMBER(J93),J93&gt;=-1),I93*(1+J93),"")))</f>
        <v>0</v>
      </c>
      <c r="L93" s="34">
        <f>IF(C93="","",IF(1&lt;=Parametry!$G$7,G93,IF(ISNUMBER(K93),H93+K93,"")))</f>
        <v>6000</v>
      </c>
      <c r="M93" s="22">
        <f t="shared" si="2"/>
        <v>0</v>
      </c>
      <c r="N93" s="7">
        <f t="shared" si="3"/>
        <v>0</v>
      </c>
      <c r="O93" s="7"/>
      <c r="P93" s="7"/>
    </row>
    <row r="94" spans="1:16" ht="24" customHeight="1">
      <c r="A94" s="7"/>
      <c r="B94" s="7"/>
      <c r="C94" s="13" t="str">
        <f>IF(Plan!C16="","",Plan!C16)</f>
        <v>IT08</v>
      </c>
      <c r="D94" s="13" t="str">
        <f>IF(C94="","",Plan!D16)</f>
        <v>Usługi chmurowe</v>
      </c>
      <c r="E94" s="33">
        <f>IF(OR(C94="",Parametry!$G$6=""),"",DATE(Parametry!$G$6,2,1))</f>
        <v>46419</v>
      </c>
      <c r="F94" s="34">
        <f>IF(C94="","",Plan!L16)</f>
        <v>6000</v>
      </c>
      <c r="G94" s="34">
        <f>IF(C94="","",SUMIFS(ERP!$I$9:$I$1008,ERP!$L$9:$L$1008,C94,ERP!$N$9:$N$1008,1,ERP!$M$9:$M$1008,2))</f>
        <v>6000</v>
      </c>
      <c r="H94" s="34">
        <f>IF(C94="","",IF(2&lt;=Parametry!$G$7,0,SUMIFS(Umowy!$N$9:$N$108,Umowy!$D$9:$D$108,C94,Umowy!$O$9:$O$108,2)))</f>
        <v>0</v>
      </c>
      <c r="I94" s="34">
        <f>IF(C94="","",IF(2&lt;=Parametry!$G$7,0,IF(COUNTIFS(Prognoza!$C$9:$C$38,C94)=1,IF(ISBLANK(INDEX(Prognoza!$K$9:$V$38,MATCH($C94,Prognoza!$C$9:$C$38,0),2)),"",IF(ISNUMBER(INDEX(Prognoza!$K$9:$V$38,MATCH($C94,Prognoza!$C$9:$C$38,0),2)),INDEX(Prognoza!$K$9:$V$38,MATCH($C94,Prognoza!$C$9:$C$38,0),2),"")),"")))</f>
        <v>0</v>
      </c>
      <c r="J94" s="35">
        <f>IF(C94="","",IF(Plan!F16="Run",IF(ISNUMBER(INDEX(Parametry!$H$18:$S$18,1,2)),INDEX(Parametry!$H$18:$S$18,1,2),""),IF(ISNUMBER(INDEX(Parametry!$H$24:$S$24,1,2)),INDEX(Parametry!$H$24:$S$24,1,2),"")))</f>
        <v>0</v>
      </c>
      <c r="K94" s="34">
        <f>IF(C94="","",IF(2&lt;=Parametry!$G$7,0,IF(AND(ISNUMBER(I94),ISNUMBER(J94),J94&gt;=-1),I94*(1+J94),"")))</f>
        <v>0</v>
      </c>
      <c r="L94" s="34">
        <f>IF(C94="","",IF(2&lt;=Parametry!$G$7,G94,IF(ISNUMBER(K94),H94+K94,"")))</f>
        <v>6000</v>
      </c>
      <c r="M94" s="22">
        <f t="shared" si="2"/>
        <v>0</v>
      </c>
      <c r="N94" s="7">
        <f t="shared" si="3"/>
        <v>0</v>
      </c>
      <c r="O94" s="7"/>
      <c r="P94" s="7"/>
    </row>
    <row r="95" spans="1:16" ht="24" customHeight="1">
      <c r="A95" s="7"/>
      <c r="B95" s="7"/>
      <c r="C95" s="13" t="str">
        <f>IF(Plan!C16="","",Plan!C16)</f>
        <v>IT08</v>
      </c>
      <c r="D95" s="13" t="str">
        <f>IF(C95="","",Plan!D16)</f>
        <v>Usługi chmurowe</v>
      </c>
      <c r="E95" s="33">
        <f>IF(OR(C95="",Parametry!$G$6=""),"",DATE(Parametry!$G$6,3,1))</f>
        <v>46447</v>
      </c>
      <c r="F95" s="34">
        <f>IF(C95="","",Plan!M16)</f>
        <v>6000</v>
      </c>
      <c r="G95" s="34">
        <f>IF(C95="","",SUMIFS(ERP!$I$9:$I$1008,ERP!$L$9:$L$1008,C95,ERP!$N$9:$N$1008,1,ERP!$M$9:$M$1008,3))</f>
        <v>6000</v>
      </c>
      <c r="H95" s="34">
        <f>IF(C95="","",IF(3&lt;=Parametry!$G$7,0,SUMIFS(Umowy!$N$9:$N$108,Umowy!$D$9:$D$108,C95,Umowy!$O$9:$O$108,3)))</f>
        <v>0</v>
      </c>
      <c r="I95" s="34">
        <f>IF(C95="","",IF(3&lt;=Parametry!$G$7,0,IF(COUNTIFS(Prognoza!$C$9:$C$38,C95)=1,IF(ISBLANK(INDEX(Prognoza!$K$9:$V$38,MATCH($C95,Prognoza!$C$9:$C$38,0),3)),"",IF(ISNUMBER(INDEX(Prognoza!$K$9:$V$38,MATCH($C95,Prognoza!$C$9:$C$38,0),3)),INDEX(Prognoza!$K$9:$V$38,MATCH($C95,Prognoza!$C$9:$C$38,0),3),"")),"")))</f>
        <v>0</v>
      </c>
      <c r="J95" s="35">
        <f>IF(C95="","",IF(Plan!F16="Run",IF(ISNUMBER(INDEX(Parametry!$H$18:$S$18,1,3)),INDEX(Parametry!$H$18:$S$18,1,3),""),IF(ISNUMBER(INDEX(Parametry!$H$24:$S$24,1,3)),INDEX(Parametry!$H$24:$S$24,1,3),"")))</f>
        <v>0</v>
      </c>
      <c r="K95" s="34">
        <f>IF(C95="","",IF(3&lt;=Parametry!$G$7,0,IF(AND(ISNUMBER(I95),ISNUMBER(J95),J95&gt;=-1),I95*(1+J95),"")))</f>
        <v>0</v>
      </c>
      <c r="L95" s="34">
        <f>IF(C95="","",IF(3&lt;=Parametry!$G$7,G95,IF(ISNUMBER(K95),H95+K95,"")))</f>
        <v>6000</v>
      </c>
      <c r="M95" s="22">
        <f t="shared" si="2"/>
        <v>0</v>
      </c>
      <c r="N95" s="7">
        <f t="shared" si="3"/>
        <v>0</v>
      </c>
      <c r="O95" s="7"/>
      <c r="P95" s="7"/>
    </row>
    <row r="96" spans="1:16" ht="24" customHeight="1">
      <c r="A96" s="7"/>
      <c r="B96" s="7"/>
      <c r="C96" s="13" t="str">
        <f>IF(Plan!C16="","",Plan!C16)</f>
        <v>IT08</v>
      </c>
      <c r="D96" s="13" t="str">
        <f>IF(C96="","",Plan!D16)</f>
        <v>Usługi chmurowe</v>
      </c>
      <c r="E96" s="33">
        <f>IF(OR(C96="",Parametry!$G$6=""),"",DATE(Parametry!$G$6,4,1))</f>
        <v>46478</v>
      </c>
      <c r="F96" s="34">
        <f>IF(C96="","",Plan!N16)</f>
        <v>6000</v>
      </c>
      <c r="G96" s="34">
        <f>IF(C96="","",SUMIFS(ERP!$I$9:$I$1008,ERP!$L$9:$L$1008,C96,ERP!$N$9:$N$1008,1,ERP!$M$9:$M$1008,4))</f>
        <v>6000</v>
      </c>
      <c r="H96" s="34">
        <f>IF(C96="","",IF(4&lt;=Parametry!$G$7,0,SUMIFS(Umowy!$N$9:$N$108,Umowy!$D$9:$D$108,C96,Umowy!$O$9:$O$108,4)))</f>
        <v>0</v>
      </c>
      <c r="I96" s="34">
        <f>IF(C96="","",IF(4&lt;=Parametry!$G$7,0,IF(COUNTIFS(Prognoza!$C$9:$C$38,C96)=1,IF(ISBLANK(INDEX(Prognoza!$K$9:$V$38,MATCH($C96,Prognoza!$C$9:$C$38,0),4)),"",IF(ISNUMBER(INDEX(Prognoza!$K$9:$V$38,MATCH($C96,Prognoza!$C$9:$C$38,0),4)),INDEX(Prognoza!$K$9:$V$38,MATCH($C96,Prognoza!$C$9:$C$38,0),4),"")),"")))</f>
        <v>0</v>
      </c>
      <c r="J96" s="35">
        <f>IF(C96="","",IF(Plan!F16="Run",IF(ISNUMBER(INDEX(Parametry!$H$18:$S$18,1,4)),INDEX(Parametry!$H$18:$S$18,1,4),""),IF(ISNUMBER(INDEX(Parametry!$H$24:$S$24,1,4)),INDEX(Parametry!$H$24:$S$24,1,4),"")))</f>
        <v>0</v>
      </c>
      <c r="K96" s="34">
        <f>IF(C96="","",IF(4&lt;=Parametry!$G$7,0,IF(AND(ISNUMBER(I96),ISNUMBER(J96),J96&gt;=-1),I96*(1+J96),"")))</f>
        <v>0</v>
      </c>
      <c r="L96" s="34">
        <f>IF(C96="","",IF(4&lt;=Parametry!$G$7,G96,IF(ISNUMBER(K96),H96+K96,"")))</f>
        <v>6000</v>
      </c>
      <c r="M96" s="22">
        <f t="shared" si="2"/>
        <v>0</v>
      </c>
      <c r="N96" s="7">
        <f t="shared" si="3"/>
        <v>0</v>
      </c>
      <c r="O96" s="7"/>
      <c r="P96" s="7"/>
    </row>
    <row r="97" spans="1:16" ht="24" customHeight="1">
      <c r="A97" s="7"/>
      <c r="B97" s="7"/>
      <c r="C97" s="13" t="str">
        <f>IF(Plan!C16="","",Plan!C16)</f>
        <v>IT08</v>
      </c>
      <c r="D97" s="13" t="str">
        <f>IF(C97="","",Plan!D16)</f>
        <v>Usługi chmurowe</v>
      </c>
      <c r="E97" s="33">
        <f>IF(OR(C97="",Parametry!$G$6=""),"",DATE(Parametry!$G$6,5,1))</f>
        <v>46508</v>
      </c>
      <c r="F97" s="34">
        <f>IF(C97="","",Plan!O16)</f>
        <v>6000</v>
      </c>
      <c r="G97" s="34">
        <f>IF(C97="","",SUMIFS(ERP!$I$9:$I$1008,ERP!$L$9:$L$1008,C97,ERP!$N$9:$N$1008,1,ERP!$M$9:$M$1008,5))</f>
        <v>6000</v>
      </c>
      <c r="H97" s="34">
        <f>IF(C97="","",IF(5&lt;=Parametry!$G$7,0,SUMIFS(Umowy!$N$9:$N$108,Umowy!$D$9:$D$108,C97,Umowy!$O$9:$O$108,5)))</f>
        <v>0</v>
      </c>
      <c r="I97" s="34">
        <f>IF(C97="","",IF(5&lt;=Parametry!$G$7,0,IF(COUNTIFS(Prognoza!$C$9:$C$38,C97)=1,IF(ISBLANK(INDEX(Prognoza!$K$9:$V$38,MATCH($C97,Prognoza!$C$9:$C$38,0),5)),"",IF(ISNUMBER(INDEX(Prognoza!$K$9:$V$38,MATCH($C97,Prognoza!$C$9:$C$38,0),5)),INDEX(Prognoza!$K$9:$V$38,MATCH($C97,Prognoza!$C$9:$C$38,0),5),"")),"")))</f>
        <v>0</v>
      </c>
      <c r="J97" s="35">
        <f>IF(C97="","",IF(Plan!F16="Run",IF(ISNUMBER(INDEX(Parametry!$H$18:$S$18,1,5)),INDEX(Parametry!$H$18:$S$18,1,5),""),IF(ISNUMBER(INDEX(Parametry!$H$24:$S$24,1,5)),INDEX(Parametry!$H$24:$S$24,1,5),"")))</f>
        <v>0</v>
      </c>
      <c r="K97" s="34">
        <f>IF(C97="","",IF(5&lt;=Parametry!$G$7,0,IF(AND(ISNUMBER(I97),ISNUMBER(J97),J97&gt;=-1),I97*(1+J97),"")))</f>
        <v>0</v>
      </c>
      <c r="L97" s="34">
        <f>IF(C97="","",IF(5&lt;=Parametry!$G$7,G97,IF(ISNUMBER(K97),H97+K97,"")))</f>
        <v>6000</v>
      </c>
      <c r="M97" s="22">
        <f t="shared" si="2"/>
        <v>0</v>
      </c>
      <c r="N97" s="7">
        <f t="shared" si="3"/>
        <v>0</v>
      </c>
      <c r="O97" s="7"/>
      <c r="P97" s="7"/>
    </row>
    <row r="98" spans="1:16" ht="24" customHeight="1">
      <c r="A98" s="7"/>
      <c r="B98" s="7"/>
      <c r="C98" s="13" t="str">
        <f>IF(Plan!C16="","",Plan!C16)</f>
        <v>IT08</v>
      </c>
      <c r="D98" s="13" t="str">
        <f>IF(C98="","",Plan!D16)</f>
        <v>Usługi chmurowe</v>
      </c>
      <c r="E98" s="33">
        <f>IF(OR(C98="",Parametry!$G$6=""),"",DATE(Parametry!$G$6,6,1))</f>
        <v>46539</v>
      </c>
      <c r="F98" s="34">
        <f>IF(C98="","",Plan!P16)</f>
        <v>6000</v>
      </c>
      <c r="G98" s="34">
        <f>IF(C98="","",SUMIFS(ERP!$I$9:$I$1008,ERP!$L$9:$L$1008,C98,ERP!$N$9:$N$1008,1,ERP!$M$9:$M$1008,6))</f>
        <v>6000</v>
      </c>
      <c r="H98" s="34">
        <f>IF(C98="","",IF(6&lt;=Parametry!$G$7,0,SUMIFS(Umowy!$N$9:$N$108,Umowy!$D$9:$D$108,C98,Umowy!$O$9:$O$108,6)))</f>
        <v>0</v>
      </c>
      <c r="I98" s="34">
        <f>IF(C98="","",IF(6&lt;=Parametry!$G$7,0,IF(COUNTIFS(Prognoza!$C$9:$C$38,C98)=1,IF(ISBLANK(INDEX(Prognoza!$K$9:$V$38,MATCH($C98,Prognoza!$C$9:$C$38,0),6)),"",IF(ISNUMBER(INDEX(Prognoza!$K$9:$V$38,MATCH($C98,Prognoza!$C$9:$C$38,0),6)),INDEX(Prognoza!$K$9:$V$38,MATCH($C98,Prognoza!$C$9:$C$38,0),6),"")),"")))</f>
        <v>0</v>
      </c>
      <c r="J98" s="35">
        <f>IF(C98="","",IF(Plan!F16="Run",IF(ISNUMBER(INDEX(Parametry!$H$18:$S$18,1,6)),INDEX(Parametry!$H$18:$S$18,1,6),""),IF(ISNUMBER(INDEX(Parametry!$H$24:$S$24,1,6)),INDEX(Parametry!$H$24:$S$24,1,6),"")))</f>
        <v>0</v>
      </c>
      <c r="K98" s="34">
        <f>IF(C98="","",IF(6&lt;=Parametry!$G$7,0,IF(AND(ISNUMBER(I98),ISNUMBER(J98),J98&gt;=-1),I98*(1+J98),"")))</f>
        <v>0</v>
      </c>
      <c r="L98" s="34">
        <f>IF(C98="","",IF(6&lt;=Parametry!$G$7,G98,IF(ISNUMBER(K98),H98+K98,"")))</f>
        <v>6000</v>
      </c>
      <c r="M98" s="22">
        <f t="shared" si="2"/>
        <v>0</v>
      </c>
      <c r="N98" s="7">
        <f t="shared" si="3"/>
        <v>0</v>
      </c>
      <c r="O98" s="7"/>
      <c r="P98" s="7"/>
    </row>
    <row r="99" spans="1:16" ht="24" customHeight="1">
      <c r="A99" s="7"/>
      <c r="B99" s="7"/>
      <c r="C99" s="13" t="str">
        <f>IF(Plan!C16="","",Plan!C16)</f>
        <v>IT08</v>
      </c>
      <c r="D99" s="13" t="str">
        <f>IF(C99="","",Plan!D16)</f>
        <v>Usługi chmurowe</v>
      </c>
      <c r="E99" s="33">
        <f>IF(OR(C99="",Parametry!$G$6=""),"",DATE(Parametry!$G$6,7,1))</f>
        <v>46569</v>
      </c>
      <c r="F99" s="34">
        <f>IF(C99="","",Plan!Q16)</f>
        <v>6000</v>
      </c>
      <c r="G99" s="34">
        <f>IF(C99="","",SUMIFS(ERP!$I$9:$I$1008,ERP!$L$9:$L$1008,C99,ERP!$N$9:$N$1008,1,ERP!$M$9:$M$1008,7))</f>
        <v>0</v>
      </c>
      <c r="H99" s="34">
        <f>IF(C99="","",IF(7&lt;=Parametry!$G$7,0,SUMIFS(Umowy!$N$9:$N$108,Umowy!$D$9:$D$108,C99,Umowy!$O$9:$O$108,7)))</f>
        <v>0</v>
      </c>
      <c r="I99" s="34">
        <f>IF(C99="","",IF(7&lt;=Parametry!$G$7,0,IF(COUNTIFS(Prognoza!$C$9:$C$38,C99)=1,IF(ISBLANK(INDEX(Prognoza!$K$9:$V$38,MATCH($C99,Prognoza!$C$9:$C$38,0),7)),"",IF(ISNUMBER(INDEX(Prognoza!$K$9:$V$38,MATCH($C99,Prognoza!$C$9:$C$38,0),7)),INDEX(Prognoza!$K$9:$V$38,MATCH($C99,Prognoza!$C$9:$C$38,0),7),"")),"")))</f>
        <v>7200</v>
      </c>
      <c r="J99" s="35">
        <f>IF(C99="","",IF(Plan!F16="Run",IF(ISNUMBER(INDEX(Parametry!$H$18:$S$18,1,7)),INDEX(Parametry!$H$18:$S$18,1,7),""),IF(ISNUMBER(INDEX(Parametry!$H$24:$S$24,1,7)),INDEX(Parametry!$H$24:$S$24,1,7),"")))</f>
        <v>0</v>
      </c>
      <c r="K99" s="34">
        <f>IF(C99="","",IF(7&lt;=Parametry!$G$7,0,IF(AND(ISNUMBER(I99),ISNUMBER(J99),J99&gt;=-1),I99*(1+J99),"")))</f>
        <v>7200</v>
      </c>
      <c r="L99" s="34">
        <f>IF(C99="","",IF(7&lt;=Parametry!$G$7,G99,IF(ISNUMBER(K99),H99+K99,"")))</f>
        <v>7200</v>
      </c>
      <c r="M99" s="22">
        <f t="shared" si="2"/>
        <v>1200</v>
      </c>
      <c r="N99" s="7">
        <f t="shared" si="3"/>
        <v>0</v>
      </c>
      <c r="O99" s="7"/>
      <c r="P99" s="7"/>
    </row>
    <row r="100" spans="1:16" ht="24" customHeight="1">
      <c r="A100" s="7"/>
      <c r="B100" s="7"/>
      <c r="C100" s="13" t="str">
        <f>IF(Plan!C16="","",Plan!C16)</f>
        <v>IT08</v>
      </c>
      <c r="D100" s="13" t="str">
        <f>IF(C100="","",Plan!D16)</f>
        <v>Usługi chmurowe</v>
      </c>
      <c r="E100" s="33">
        <f>IF(OR(C100="",Parametry!$G$6=""),"",DATE(Parametry!$G$6,8,1))</f>
        <v>46600</v>
      </c>
      <c r="F100" s="34">
        <f>IF(C100="","",Plan!R16)</f>
        <v>6000</v>
      </c>
      <c r="G100" s="34">
        <f>IF(C100="","",SUMIFS(ERP!$I$9:$I$1008,ERP!$L$9:$L$1008,C100,ERP!$N$9:$N$1008,1,ERP!$M$9:$M$1008,8))</f>
        <v>0</v>
      </c>
      <c r="H100" s="34">
        <f>IF(C100="","",IF(8&lt;=Parametry!$G$7,0,SUMIFS(Umowy!$N$9:$N$108,Umowy!$D$9:$D$108,C100,Umowy!$O$9:$O$108,8)))</f>
        <v>0</v>
      </c>
      <c r="I100" s="34">
        <f>IF(C100="","",IF(8&lt;=Parametry!$G$7,0,IF(COUNTIFS(Prognoza!$C$9:$C$38,C100)=1,IF(ISBLANK(INDEX(Prognoza!$K$9:$V$38,MATCH($C100,Prognoza!$C$9:$C$38,0),8)),"",IF(ISNUMBER(INDEX(Prognoza!$K$9:$V$38,MATCH($C100,Prognoza!$C$9:$C$38,0),8)),INDEX(Prognoza!$K$9:$V$38,MATCH($C100,Prognoza!$C$9:$C$38,0),8),"")),"")))</f>
        <v>7200</v>
      </c>
      <c r="J100" s="35">
        <f>IF(C100="","",IF(Plan!F16="Run",IF(ISNUMBER(INDEX(Parametry!$H$18:$S$18,1,8)),INDEX(Parametry!$H$18:$S$18,1,8),""),IF(ISNUMBER(INDEX(Parametry!$H$24:$S$24,1,8)),INDEX(Parametry!$H$24:$S$24,1,8),"")))</f>
        <v>0</v>
      </c>
      <c r="K100" s="34">
        <f>IF(C100="","",IF(8&lt;=Parametry!$G$7,0,IF(AND(ISNUMBER(I100),ISNUMBER(J100),J100&gt;=-1),I100*(1+J100),"")))</f>
        <v>7200</v>
      </c>
      <c r="L100" s="34">
        <f>IF(C100="","",IF(8&lt;=Parametry!$G$7,G100,IF(ISNUMBER(K100),H100+K100,"")))</f>
        <v>7200</v>
      </c>
      <c r="M100" s="22">
        <f t="shared" si="2"/>
        <v>1200</v>
      </c>
      <c r="N100" s="7">
        <f t="shared" si="3"/>
        <v>0</v>
      </c>
      <c r="O100" s="7"/>
      <c r="P100" s="7"/>
    </row>
    <row r="101" spans="1:16" ht="24" customHeight="1">
      <c r="A101" s="7"/>
      <c r="B101" s="7"/>
      <c r="C101" s="13" t="str">
        <f>IF(Plan!C16="","",Plan!C16)</f>
        <v>IT08</v>
      </c>
      <c r="D101" s="13" t="str">
        <f>IF(C101="","",Plan!D16)</f>
        <v>Usługi chmurowe</v>
      </c>
      <c r="E101" s="33">
        <f>IF(OR(C101="",Parametry!$G$6=""),"",DATE(Parametry!$G$6,9,1))</f>
        <v>46631</v>
      </c>
      <c r="F101" s="34">
        <f>IF(C101="","",Plan!S16)</f>
        <v>6000</v>
      </c>
      <c r="G101" s="34">
        <f>IF(C101="","",SUMIFS(ERP!$I$9:$I$1008,ERP!$L$9:$L$1008,C101,ERP!$N$9:$N$1008,1,ERP!$M$9:$M$1008,9))</f>
        <v>0</v>
      </c>
      <c r="H101" s="34">
        <f>IF(C101="","",IF(9&lt;=Parametry!$G$7,0,SUMIFS(Umowy!$N$9:$N$108,Umowy!$D$9:$D$108,C101,Umowy!$O$9:$O$108,9)))</f>
        <v>0</v>
      </c>
      <c r="I101" s="34">
        <f>IF(C101="","",IF(9&lt;=Parametry!$G$7,0,IF(COUNTIFS(Prognoza!$C$9:$C$38,C101)=1,IF(ISBLANK(INDEX(Prognoza!$K$9:$V$38,MATCH($C101,Prognoza!$C$9:$C$38,0),9)),"",IF(ISNUMBER(INDEX(Prognoza!$K$9:$V$38,MATCH($C101,Prognoza!$C$9:$C$38,0),9)),INDEX(Prognoza!$K$9:$V$38,MATCH($C101,Prognoza!$C$9:$C$38,0),9),"")),"")))</f>
        <v>7200</v>
      </c>
      <c r="J101" s="35">
        <f>IF(C101="","",IF(Plan!F16="Run",IF(ISNUMBER(INDEX(Parametry!$H$18:$S$18,1,9)),INDEX(Parametry!$H$18:$S$18,1,9),""),IF(ISNUMBER(INDEX(Parametry!$H$24:$S$24,1,9)),INDEX(Parametry!$H$24:$S$24,1,9),"")))</f>
        <v>0</v>
      </c>
      <c r="K101" s="34">
        <f>IF(C101="","",IF(9&lt;=Parametry!$G$7,0,IF(AND(ISNUMBER(I101),ISNUMBER(J101),J101&gt;=-1),I101*(1+J101),"")))</f>
        <v>7200</v>
      </c>
      <c r="L101" s="34">
        <f>IF(C101="","",IF(9&lt;=Parametry!$G$7,G101,IF(ISNUMBER(K101),H101+K101,"")))</f>
        <v>7200</v>
      </c>
      <c r="M101" s="22">
        <f t="shared" si="2"/>
        <v>1200</v>
      </c>
      <c r="N101" s="7">
        <f t="shared" si="3"/>
        <v>0</v>
      </c>
      <c r="O101" s="7"/>
      <c r="P101" s="7"/>
    </row>
    <row r="102" spans="1:16" ht="24" customHeight="1">
      <c r="A102" s="7"/>
      <c r="B102" s="7"/>
      <c r="C102" s="13" t="str">
        <f>IF(Plan!C16="","",Plan!C16)</f>
        <v>IT08</v>
      </c>
      <c r="D102" s="13" t="str">
        <f>IF(C102="","",Plan!D16)</f>
        <v>Usługi chmurowe</v>
      </c>
      <c r="E102" s="33">
        <f>IF(OR(C102="",Parametry!$G$6=""),"",DATE(Parametry!$G$6,10,1))</f>
        <v>46661</v>
      </c>
      <c r="F102" s="34">
        <f>IF(C102="","",Plan!T16)</f>
        <v>6000</v>
      </c>
      <c r="G102" s="34">
        <f>IF(C102="","",SUMIFS(ERP!$I$9:$I$1008,ERP!$L$9:$L$1008,C102,ERP!$N$9:$N$1008,1,ERP!$M$9:$M$1008,10))</f>
        <v>0</v>
      </c>
      <c r="H102" s="34">
        <f>IF(C102="","",IF(10&lt;=Parametry!$G$7,0,SUMIFS(Umowy!$N$9:$N$108,Umowy!$D$9:$D$108,C102,Umowy!$O$9:$O$108,10)))</f>
        <v>0</v>
      </c>
      <c r="I102" s="34">
        <f>IF(C102="","",IF(10&lt;=Parametry!$G$7,0,IF(COUNTIFS(Prognoza!$C$9:$C$38,C102)=1,IF(ISBLANK(INDEX(Prognoza!$K$9:$V$38,MATCH($C102,Prognoza!$C$9:$C$38,0),10)),"",IF(ISNUMBER(INDEX(Prognoza!$K$9:$V$38,MATCH($C102,Prognoza!$C$9:$C$38,0),10)),INDEX(Prognoza!$K$9:$V$38,MATCH($C102,Prognoza!$C$9:$C$38,0),10),"")),"")))</f>
        <v>7200</v>
      </c>
      <c r="J102" s="35">
        <f>IF(C102="","",IF(Plan!F16="Run",IF(ISNUMBER(INDEX(Parametry!$H$18:$S$18,1,10)),INDEX(Parametry!$H$18:$S$18,1,10),""),IF(ISNUMBER(INDEX(Parametry!$H$24:$S$24,1,10)),INDEX(Parametry!$H$24:$S$24,1,10),"")))</f>
        <v>0</v>
      </c>
      <c r="K102" s="34">
        <f>IF(C102="","",IF(10&lt;=Parametry!$G$7,0,IF(AND(ISNUMBER(I102),ISNUMBER(J102),J102&gt;=-1),I102*(1+J102),"")))</f>
        <v>7200</v>
      </c>
      <c r="L102" s="34">
        <f>IF(C102="","",IF(10&lt;=Parametry!$G$7,G102,IF(ISNUMBER(K102),H102+K102,"")))</f>
        <v>7200</v>
      </c>
      <c r="M102" s="22">
        <f t="shared" si="2"/>
        <v>1200</v>
      </c>
      <c r="N102" s="7">
        <f t="shared" si="3"/>
        <v>0</v>
      </c>
      <c r="O102" s="7"/>
      <c r="P102" s="7"/>
    </row>
    <row r="103" spans="1:16" ht="24" customHeight="1">
      <c r="A103" s="7"/>
      <c r="B103" s="7"/>
      <c r="C103" s="13" t="str">
        <f>IF(Plan!C16="","",Plan!C16)</f>
        <v>IT08</v>
      </c>
      <c r="D103" s="13" t="str">
        <f>IF(C103="","",Plan!D16)</f>
        <v>Usługi chmurowe</v>
      </c>
      <c r="E103" s="33">
        <f>IF(OR(C103="",Parametry!$G$6=""),"",DATE(Parametry!$G$6,11,1))</f>
        <v>46692</v>
      </c>
      <c r="F103" s="34">
        <f>IF(C103="","",Plan!U16)</f>
        <v>6000</v>
      </c>
      <c r="G103" s="34">
        <f>IF(C103="","",SUMIFS(ERP!$I$9:$I$1008,ERP!$L$9:$L$1008,C103,ERP!$N$9:$N$1008,1,ERP!$M$9:$M$1008,11))</f>
        <v>0</v>
      </c>
      <c r="H103" s="34">
        <f>IF(C103="","",IF(11&lt;=Parametry!$G$7,0,SUMIFS(Umowy!$N$9:$N$108,Umowy!$D$9:$D$108,C103,Umowy!$O$9:$O$108,11)))</f>
        <v>0</v>
      </c>
      <c r="I103" s="34">
        <f>IF(C103="","",IF(11&lt;=Parametry!$G$7,0,IF(COUNTIFS(Prognoza!$C$9:$C$38,C103)=1,IF(ISBLANK(INDEX(Prognoza!$K$9:$V$38,MATCH($C103,Prognoza!$C$9:$C$38,0),11)),"",IF(ISNUMBER(INDEX(Prognoza!$K$9:$V$38,MATCH($C103,Prognoza!$C$9:$C$38,0),11)),INDEX(Prognoza!$K$9:$V$38,MATCH($C103,Prognoza!$C$9:$C$38,0),11),"")),"")))</f>
        <v>7200</v>
      </c>
      <c r="J103" s="35">
        <f>IF(C103="","",IF(Plan!F16="Run",IF(ISNUMBER(INDEX(Parametry!$H$18:$S$18,1,11)),INDEX(Parametry!$H$18:$S$18,1,11),""),IF(ISNUMBER(INDEX(Parametry!$H$24:$S$24,1,11)),INDEX(Parametry!$H$24:$S$24,1,11),"")))</f>
        <v>0</v>
      </c>
      <c r="K103" s="34">
        <f>IF(C103="","",IF(11&lt;=Parametry!$G$7,0,IF(AND(ISNUMBER(I103),ISNUMBER(J103),J103&gt;=-1),I103*(1+J103),"")))</f>
        <v>7200</v>
      </c>
      <c r="L103" s="34">
        <f>IF(C103="","",IF(11&lt;=Parametry!$G$7,G103,IF(ISNUMBER(K103),H103+K103,"")))</f>
        <v>7200</v>
      </c>
      <c r="M103" s="22">
        <f t="shared" si="2"/>
        <v>1200</v>
      </c>
      <c r="N103" s="7">
        <f t="shared" si="3"/>
        <v>0</v>
      </c>
      <c r="O103" s="7"/>
      <c r="P103" s="7"/>
    </row>
    <row r="104" spans="1:16" ht="24" customHeight="1">
      <c r="A104" s="7"/>
      <c r="B104" s="7"/>
      <c r="C104" s="13" t="str">
        <f>IF(Plan!C16="","",Plan!C16)</f>
        <v>IT08</v>
      </c>
      <c r="D104" s="13" t="str">
        <f>IF(C104="","",Plan!D16)</f>
        <v>Usługi chmurowe</v>
      </c>
      <c r="E104" s="33">
        <f>IF(OR(C104="",Parametry!$G$6=""),"",DATE(Parametry!$G$6,12,1))</f>
        <v>46722</v>
      </c>
      <c r="F104" s="34">
        <f>IF(C104="","",Plan!V16)</f>
        <v>6000</v>
      </c>
      <c r="G104" s="34">
        <f>IF(C104="","",SUMIFS(ERP!$I$9:$I$1008,ERP!$L$9:$L$1008,C104,ERP!$N$9:$N$1008,1,ERP!$M$9:$M$1008,12))</f>
        <v>0</v>
      </c>
      <c r="H104" s="34">
        <f>IF(C104="","",IF(12&lt;=Parametry!$G$7,0,SUMIFS(Umowy!$N$9:$N$108,Umowy!$D$9:$D$108,C104,Umowy!$O$9:$O$108,12)))</f>
        <v>0</v>
      </c>
      <c r="I104" s="34">
        <f>IF(C104="","",IF(12&lt;=Parametry!$G$7,0,IF(COUNTIFS(Prognoza!$C$9:$C$38,C104)=1,IF(ISBLANK(INDEX(Prognoza!$K$9:$V$38,MATCH($C104,Prognoza!$C$9:$C$38,0),12)),"",IF(ISNUMBER(INDEX(Prognoza!$K$9:$V$38,MATCH($C104,Prognoza!$C$9:$C$38,0),12)),INDEX(Prognoza!$K$9:$V$38,MATCH($C104,Prognoza!$C$9:$C$38,0),12),"")),"")))</f>
        <v>7200</v>
      </c>
      <c r="J104" s="35">
        <f>IF(C104="","",IF(Plan!F16="Run",IF(ISNUMBER(INDEX(Parametry!$H$18:$S$18,1,12)),INDEX(Parametry!$H$18:$S$18,1,12),""),IF(ISNUMBER(INDEX(Parametry!$H$24:$S$24,1,12)),INDEX(Parametry!$H$24:$S$24,1,12),"")))</f>
        <v>0</v>
      </c>
      <c r="K104" s="34">
        <f>IF(C104="","",IF(12&lt;=Parametry!$G$7,0,IF(AND(ISNUMBER(I104),ISNUMBER(J104),J104&gt;=-1),I104*(1+J104),"")))</f>
        <v>7200</v>
      </c>
      <c r="L104" s="34">
        <f>IF(C104="","",IF(12&lt;=Parametry!$G$7,G104,IF(ISNUMBER(K104),H104+K104,"")))</f>
        <v>7200</v>
      </c>
      <c r="M104" s="22">
        <f t="shared" si="2"/>
        <v>1200</v>
      </c>
      <c r="N104" s="7">
        <f t="shared" si="3"/>
        <v>0</v>
      </c>
      <c r="O104" s="7"/>
      <c r="P104" s="7"/>
    </row>
    <row r="105" spans="1:16" ht="24" customHeight="1">
      <c r="A105" s="7"/>
      <c r="B105" s="7"/>
      <c r="C105" s="13" t="str">
        <f>IF(Plan!C17="","",Plan!C17)</f>
        <v>IT09</v>
      </c>
      <c r="D105" s="13" t="str">
        <f>IF(C105="","",Plan!D17)</f>
        <v>Zespół IT</v>
      </c>
      <c r="E105" s="33">
        <f>IF(OR(C105="",Parametry!$G$6=""),"",DATE(Parametry!$G$6,1,1))</f>
        <v>46388</v>
      </c>
      <c r="F105" s="34">
        <f>IF(C105="","",Plan!K17)</f>
        <v>32000</v>
      </c>
      <c r="G105" s="34">
        <f>IF(C105="","",SUMIFS(ERP!$I$9:$I$1008,ERP!$L$9:$L$1008,C105,ERP!$N$9:$N$1008,1,ERP!$M$9:$M$1008,1))</f>
        <v>32000</v>
      </c>
      <c r="H105" s="34">
        <f>IF(C105="","",IF(1&lt;=Parametry!$G$7,0,SUMIFS(Umowy!$N$9:$N$108,Umowy!$D$9:$D$108,C105,Umowy!$O$9:$O$108,1)))</f>
        <v>0</v>
      </c>
      <c r="I105" s="34">
        <f>IF(C105="","",IF(1&lt;=Parametry!$G$7,0,IF(COUNTIFS(Prognoza!$C$9:$C$38,C105)=1,IF(ISBLANK(INDEX(Prognoza!$K$9:$V$38,MATCH($C105,Prognoza!$C$9:$C$38,0),1)),"",IF(ISNUMBER(INDEX(Prognoza!$K$9:$V$38,MATCH($C105,Prognoza!$C$9:$C$38,0),1)),INDEX(Prognoza!$K$9:$V$38,MATCH($C105,Prognoza!$C$9:$C$38,0),1),"")),"")))</f>
        <v>0</v>
      </c>
      <c r="J105" s="35">
        <f>IF(C105="","",IF(Plan!F17="Run",IF(ISNUMBER(INDEX(Parametry!$H$18:$S$18,1,1)),INDEX(Parametry!$H$18:$S$18,1,1),""),IF(ISNUMBER(INDEX(Parametry!$H$24:$S$24,1,1)),INDEX(Parametry!$H$24:$S$24,1,1),"")))</f>
        <v>0</v>
      </c>
      <c r="K105" s="34">
        <f>IF(C105="","",IF(1&lt;=Parametry!$G$7,0,IF(AND(ISNUMBER(I105),ISNUMBER(J105),J105&gt;=-1),I105*(1+J105),"")))</f>
        <v>0</v>
      </c>
      <c r="L105" s="34">
        <f>IF(C105="","",IF(1&lt;=Parametry!$G$7,G105,IF(ISNUMBER(K105),H105+K105,"")))</f>
        <v>32000</v>
      </c>
      <c r="M105" s="22">
        <f t="shared" si="2"/>
        <v>0</v>
      </c>
      <c r="N105" s="7">
        <f t="shared" si="3"/>
        <v>0</v>
      </c>
      <c r="O105" s="7"/>
      <c r="P105" s="7"/>
    </row>
    <row r="106" spans="1:16" ht="24" customHeight="1">
      <c r="A106" s="7"/>
      <c r="B106" s="7"/>
      <c r="C106" s="13" t="str">
        <f>IF(Plan!C17="","",Plan!C17)</f>
        <v>IT09</v>
      </c>
      <c r="D106" s="13" t="str">
        <f>IF(C106="","",Plan!D17)</f>
        <v>Zespół IT</v>
      </c>
      <c r="E106" s="33">
        <f>IF(OR(C106="",Parametry!$G$6=""),"",DATE(Parametry!$G$6,2,1))</f>
        <v>46419</v>
      </c>
      <c r="F106" s="34">
        <f>IF(C106="","",Plan!L17)</f>
        <v>32000</v>
      </c>
      <c r="G106" s="34">
        <f>IF(C106="","",SUMIFS(ERP!$I$9:$I$1008,ERP!$L$9:$L$1008,C106,ERP!$N$9:$N$1008,1,ERP!$M$9:$M$1008,2))</f>
        <v>32000</v>
      </c>
      <c r="H106" s="34">
        <f>IF(C106="","",IF(2&lt;=Parametry!$G$7,0,SUMIFS(Umowy!$N$9:$N$108,Umowy!$D$9:$D$108,C106,Umowy!$O$9:$O$108,2)))</f>
        <v>0</v>
      </c>
      <c r="I106" s="34">
        <f>IF(C106="","",IF(2&lt;=Parametry!$G$7,0,IF(COUNTIFS(Prognoza!$C$9:$C$38,C106)=1,IF(ISBLANK(INDEX(Prognoza!$K$9:$V$38,MATCH($C106,Prognoza!$C$9:$C$38,0),2)),"",IF(ISNUMBER(INDEX(Prognoza!$K$9:$V$38,MATCH($C106,Prognoza!$C$9:$C$38,0),2)),INDEX(Prognoza!$K$9:$V$38,MATCH($C106,Prognoza!$C$9:$C$38,0),2),"")),"")))</f>
        <v>0</v>
      </c>
      <c r="J106" s="35">
        <f>IF(C106="","",IF(Plan!F17="Run",IF(ISNUMBER(INDEX(Parametry!$H$18:$S$18,1,2)),INDEX(Parametry!$H$18:$S$18,1,2),""),IF(ISNUMBER(INDEX(Parametry!$H$24:$S$24,1,2)),INDEX(Parametry!$H$24:$S$24,1,2),"")))</f>
        <v>0</v>
      </c>
      <c r="K106" s="34">
        <f>IF(C106="","",IF(2&lt;=Parametry!$G$7,0,IF(AND(ISNUMBER(I106),ISNUMBER(J106),J106&gt;=-1),I106*(1+J106),"")))</f>
        <v>0</v>
      </c>
      <c r="L106" s="34">
        <f>IF(C106="","",IF(2&lt;=Parametry!$G$7,G106,IF(ISNUMBER(K106),H106+K106,"")))</f>
        <v>32000</v>
      </c>
      <c r="M106" s="22">
        <f t="shared" si="2"/>
        <v>0</v>
      </c>
      <c r="N106" s="7">
        <f t="shared" si="3"/>
        <v>0</v>
      </c>
      <c r="O106" s="7"/>
      <c r="P106" s="7"/>
    </row>
    <row r="107" spans="1:16" ht="24" customHeight="1">
      <c r="A107" s="7"/>
      <c r="B107" s="7"/>
      <c r="C107" s="13" t="str">
        <f>IF(Plan!C17="","",Plan!C17)</f>
        <v>IT09</v>
      </c>
      <c r="D107" s="13" t="str">
        <f>IF(C107="","",Plan!D17)</f>
        <v>Zespół IT</v>
      </c>
      <c r="E107" s="33">
        <f>IF(OR(C107="",Parametry!$G$6=""),"",DATE(Parametry!$G$6,3,1))</f>
        <v>46447</v>
      </c>
      <c r="F107" s="34">
        <f>IF(C107="","",Plan!M17)</f>
        <v>32000</v>
      </c>
      <c r="G107" s="34">
        <f>IF(C107="","",SUMIFS(ERP!$I$9:$I$1008,ERP!$L$9:$L$1008,C107,ERP!$N$9:$N$1008,1,ERP!$M$9:$M$1008,3))</f>
        <v>32000</v>
      </c>
      <c r="H107" s="34">
        <f>IF(C107="","",IF(3&lt;=Parametry!$G$7,0,SUMIFS(Umowy!$N$9:$N$108,Umowy!$D$9:$D$108,C107,Umowy!$O$9:$O$108,3)))</f>
        <v>0</v>
      </c>
      <c r="I107" s="34">
        <f>IF(C107="","",IF(3&lt;=Parametry!$G$7,0,IF(COUNTIFS(Prognoza!$C$9:$C$38,C107)=1,IF(ISBLANK(INDEX(Prognoza!$K$9:$V$38,MATCH($C107,Prognoza!$C$9:$C$38,0),3)),"",IF(ISNUMBER(INDEX(Prognoza!$K$9:$V$38,MATCH($C107,Prognoza!$C$9:$C$38,0),3)),INDEX(Prognoza!$K$9:$V$38,MATCH($C107,Prognoza!$C$9:$C$38,0),3),"")),"")))</f>
        <v>0</v>
      </c>
      <c r="J107" s="35">
        <f>IF(C107="","",IF(Plan!F17="Run",IF(ISNUMBER(INDEX(Parametry!$H$18:$S$18,1,3)),INDEX(Parametry!$H$18:$S$18,1,3),""),IF(ISNUMBER(INDEX(Parametry!$H$24:$S$24,1,3)),INDEX(Parametry!$H$24:$S$24,1,3),"")))</f>
        <v>0</v>
      </c>
      <c r="K107" s="34">
        <f>IF(C107="","",IF(3&lt;=Parametry!$G$7,0,IF(AND(ISNUMBER(I107),ISNUMBER(J107),J107&gt;=-1),I107*(1+J107),"")))</f>
        <v>0</v>
      </c>
      <c r="L107" s="34">
        <f>IF(C107="","",IF(3&lt;=Parametry!$G$7,G107,IF(ISNUMBER(K107),H107+K107,"")))</f>
        <v>32000</v>
      </c>
      <c r="M107" s="22">
        <f t="shared" si="2"/>
        <v>0</v>
      </c>
      <c r="N107" s="7">
        <f t="shared" si="3"/>
        <v>0</v>
      </c>
      <c r="O107" s="7"/>
      <c r="P107" s="7"/>
    </row>
    <row r="108" spans="1:16" ht="24" customHeight="1">
      <c r="A108" s="7"/>
      <c r="B108" s="7"/>
      <c r="C108" s="13" t="str">
        <f>IF(Plan!C17="","",Plan!C17)</f>
        <v>IT09</v>
      </c>
      <c r="D108" s="13" t="str">
        <f>IF(C108="","",Plan!D17)</f>
        <v>Zespół IT</v>
      </c>
      <c r="E108" s="33">
        <f>IF(OR(C108="",Parametry!$G$6=""),"",DATE(Parametry!$G$6,4,1))</f>
        <v>46478</v>
      </c>
      <c r="F108" s="34">
        <f>IF(C108="","",Plan!N17)</f>
        <v>32000</v>
      </c>
      <c r="G108" s="34">
        <f>IF(C108="","",SUMIFS(ERP!$I$9:$I$1008,ERP!$L$9:$L$1008,C108,ERP!$N$9:$N$1008,1,ERP!$M$9:$M$1008,4))</f>
        <v>32000</v>
      </c>
      <c r="H108" s="34">
        <f>IF(C108="","",IF(4&lt;=Parametry!$G$7,0,SUMIFS(Umowy!$N$9:$N$108,Umowy!$D$9:$D$108,C108,Umowy!$O$9:$O$108,4)))</f>
        <v>0</v>
      </c>
      <c r="I108" s="34">
        <f>IF(C108="","",IF(4&lt;=Parametry!$G$7,0,IF(COUNTIFS(Prognoza!$C$9:$C$38,C108)=1,IF(ISBLANK(INDEX(Prognoza!$K$9:$V$38,MATCH($C108,Prognoza!$C$9:$C$38,0),4)),"",IF(ISNUMBER(INDEX(Prognoza!$K$9:$V$38,MATCH($C108,Prognoza!$C$9:$C$38,0),4)),INDEX(Prognoza!$K$9:$V$38,MATCH($C108,Prognoza!$C$9:$C$38,0),4),"")),"")))</f>
        <v>0</v>
      </c>
      <c r="J108" s="35">
        <f>IF(C108="","",IF(Plan!F17="Run",IF(ISNUMBER(INDEX(Parametry!$H$18:$S$18,1,4)),INDEX(Parametry!$H$18:$S$18,1,4),""),IF(ISNUMBER(INDEX(Parametry!$H$24:$S$24,1,4)),INDEX(Parametry!$H$24:$S$24,1,4),"")))</f>
        <v>0</v>
      </c>
      <c r="K108" s="34">
        <f>IF(C108="","",IF(4&lt;=Parametry!$G$7,0,IF(AND(ISNUMBER(I108),ISNUMBER(J108),J108&gt;=-1),I108*(1+J108),"")))</f>
        <v>0</v>
      </c>
      <c r="L108" s="34">
        <f>IF(C108="","",IF(4&lt;=Parametry!$G$7,G108,IF(ISNUMBER(K108),H108+K108,"")))</f>
        <v>32000</v>
      </c>
      <c r="M108" s="22">
        <f t="shared" si="2"/>
        <v>0</v>
      </c>
      <c r="N108" s="7">
        <f t="shared" si="3"/>
        <v>0</v>
      </c>
      <c r="O108" s="7"/>
      <c r="P108" s="7"/>
    </row>
    <row r="109" spans="1:16" ht="24" customHeight="1">
      <c r="A109" s="7"/>
      <c r="B109" s="7"/>
      <c r="C109" s="13" t="str">
        <f>IF(Plan!C17="","",Plan!C17)</f>
        <v>IT09</v>
      </c>
      <c r="D109" s="13" t="str">
        <f>IF(C109="","",Plan!D17)</f>
        <v>Zespół IT</v>
      </c>
      <c r="E109" s="33">
        <f>IF(OR(C109="",Parametry!$G$6=""),"",DATE(Parametry!$G$6,5,1))</f>
        <v>46508</v>
      </c>
      <c r="F109" s="34">
        <f>IF(C109="","",Plan!O17)</f>
        <v>32000</v>
      </c>
      <c r="G109" s="34">
        <f>IF(C109="","",SUMIFS(ERP!$I$9:$I$1008,ERP!$L$9:$L$1008,C109,ERP!$N$9:$N$1008,1,ERP!$M$9:$M$1008,5))</f>
        <v>32000</v>
      </c>
      <c r="H109" s="34">
        <f>IF(C109="","",IF(5&lt;=Parametry!$G$7,0,SUMIFS(Umowy!$N$9:$N$108,Umowy!$D$9:$D$108,C109,Umowy!$O$9:$O$108,5)))</f>
        <v>0</v>
      </c>
      <c r="I109" s="34">
        <f>IF(C109="","",IF(5&lt;=Parametry!$G$7,0,IF(COUNTIFS(Prognoza!$C$9:$C$38,C109)=1,IF(ISBLANK(INDEX(Prognoza!$K$9:$V$38,MATCH($C109,Prognoza!$C$9:$C$38,0),5)),"",IF(ISNUMBER(INDEX(Prognoza!$K$9:$V$38,MATCH($C109,Prognoza!$C$9:$C$38,0),5)),INDEX(Prognoza!$K$9:$V$38,MATCH($C109,Prognoza!$C$9:$C$38,0),5),"")),"")))</f>
        <v>0</v>
      </c>
      <c r="J109" s="35">
        <f>IF(C109="","",IF(Plan!F17="Run",IF(ISNUMBER(INDEX(Parametry!$H$18:$S$18,1,5)),INDEX(Parametry!$H$18:$S$18,1,5),""),IF(ISNUMBER(INDEX(Parametry!$H$24:$S$24,1,5)),INDEX(Parametry!$H$24:$S$24,1,5),"")))</f>
        <v>0</v>
      </c>
      <c r="K109" s="34">
        <f>IF(C109="","",IF(5&lt;=Parametry!$G$7,0,IF(AND(ISNUMBER(I109),ISNUMBER(J109),J109&gt;=-1),I109*(1+J109),"")))</f>
        <v>0</v>
      </c>
      <c r="L109" s="34">
        <f>IF(C109="","",IF(5&lt;=Parametry!$G$7,G109,IF(ISNUMBER(K109),H109+K109,"")))</f>
        <v>32000</v>
      </c>
      <c r="M109" s="22">
        <f t="shared" si="2"/>
        <v>0</v>
      </c>
      <c r="N109" s="7">
        <f t="shared" si="3"/>
        <v>0</v>
      </c>
      <c r="O109" s="7"/>
      <c r="P109" s="7"/>
    </row>
    <row r="110" spans="1:16" ht="24" customHeight="1">
      <c r="A110" s="7"/>
      <c r="B110" s="7"/>
      <c r="C110" s="13" t="str">
        <f>IF(Plan!C17="","",Plan!C17)</f>
        <v>IT09</v>
      </c>
      <c r="D110" s="13" t="str">
        <f>IF(C110="","",Plan!D17)</f>
        <v>Zespół IT</v>
      </c>
      <c r="E110" s="33">
        <f>IF(OR(C110="",Parametry!$G$6=""),"",DATE(Parametry!$G$6,6,1))</f>
        <v>46539</v>
      </c>
      <c r="F110" s="34">
        <f>IF(C110="","",Plan!P17)</f>
        <v>32000</v>
      </c>
      <c r="G110" s="34">
        <f>IF(C110="","",SUMIFS(ERP!$I$9:$I$1008,ERP!$L$9:$L$1008,C110,ERP!$N$9:$N$1008,1,ERP!$M$9:$M$1008,6))</f>
        <v>32000</v>
      </c>
      <c r="H110" s="34">
        <f>IF(C110="","",IF(6&lt;=Parametry!$G$7,0,SUMIFS(Umowy!$N$9:$N$108,Umowy!$D$9:$D$108,C110,Umowy!$O$9:$O$108,6)))</f>
        <v>0</v>
      </c>
      <c r="I110" s="34">
        <f>IF(C110="","",IF(6&lt;=Parametry!$G$7,0,IF(COUNTIFS(Prognoza!$C$9:$C$38,C110)=1,IF(ISBLANK(INDEX(Prognoza!$K$9:$V$38,MATCH($C110,Prognoza!$C$9:$C$38,0),6)),"",IF(ISNUMBER(INDEX(Prognoza!$K$9:$V$38,MATCH($C110,Prognoza!$C$9:$C$38,0),6)),INDEX(Prognoza!$K$9:$V$38,MATCH($C110,Prognoza!$C$9:$C$38,0),6),"")),"")))</f>
        <v>0</v>
      </c>
      <c r="J110" s="35">
        <f>IF(C110="","",IF(Plan!F17="Run",IF(ISNUMBER(INDEX(Parametry!$H$18:$S$18,1,6)),INDEX(Parametry!$H$18:$S$18,1,6),""),IF(ISNUMBER(INDEX(Parametry!$H$24:$S$24,1,6)),INDEX(Parametry!$H$24:$S$24,1,6),"")))</f>
        <v>0</v>
      </c>
      <c r="K110" s="34">
        <f>IF(C110="","",IF(6&lt;=Parametry!$G$7,0,IF(AND(ISNUMBER(I110),ISNUMBER(J110),J110&gt;=-1),I110*(1+J110),"")))</f>
        <v>0</v>
      </c>
      <c r="L110" s="34">
        <f>IF(C110="","",IF(6&lt;=Parametry!$G$7,G110,IF(ISNUMBER(K110),H110+K110,"")))</f>
        <v>32000</v>
      </c>
      <c r="M110" s="22">
        <f t="shared" si="2"/>
        <v>0</v>
      </c>
      <c r="N110" s="7">
        <f t="shared" si="3"/>
        <v>0</v>
      </c>
      <c r="O110" s="7"/>
      <c r="P110" s="7"/>
    </row>
    <row r="111" spans="1:16" ht="24" customHeight="1">
      <c r="A111" s="7"/>
      <c r="B111" s="7"/>
      <c r="C111" s="13" t="str">
        <f>IF(Plan!C17="","",Plan!C17)</f>
        <v>IT09</v>
      </c>
      <c r="D111" s="13" t="str">
        <f>IF(C111="","",Plan!D17)</f>
        <v>Zespół IT</v>
      </c>
      <c r="E111" s="33">
        <f>IF(OR(C111="",Parametry!$G$6=""),"",DATE(Parametry!$G$6,7,1))</f>
        <v>46569</v>
      </c>
      <c r="F111" s="34">
        <f>IF(C111="","",Plan!Q17)</f>
        <v>32000</v>
      </c>
      <c r="G111" s="34">
        <f>IF(C111="","",SUMIFS(ERP!$I$9:$I$1008,ERP!$L$9:$L$1008,C111,ERP!$N$9:$N$1008,1,ERP!$M$9:$M$1008,7))</f>
        <v>0</v>
      </c>
      <c r="H111" s="34">
        <f>IF(C111="","",IF(7&lt;=Parametry!$G$7,0,SUMIFS(Umowy!$N$9:$N$108,Umowy!$D$9:$D$108,C111,Umowy!$O$9:$O$108,7)))</f>
        <v>0</v>
      </c>
      <c r="I111" s="34">
        <f>IF(C111="","",IF(7&lt;=Parametry!$G$7,0,IF(COUNTIFS(Prognoza!$C$9:$C$38,C111)=1,IF(ISBLANK(INDEX(Prognoza!$K$9:$V$38,MATCH($C111,Prognoza!$C$9:$C$38,0),7)),"",IF(ISNUMBER(INDEX(Prognoza!$K$9:$V$38,MATCH($C111,Prognoza!$C$9:$C$38,0),7)),INDEX(Prognoza!$K$9:$V$38,MATCH($C111,Prognoza!$C$9:$C$38,0),7),"")),"")))</f>
        <v>32000</v>
      </c>
      <c r="J111" s="35">
        <f>IF(C111="","",IF(Plan!F17="Run",IF(ISNUMBER(INDEX(Parametry!$H$18:$S$18,1,7)),INDEX(Parametry!$H$18:$S$18,1,7),""),IF(ISNUMBER(INDEX(Parametry!$H$24:$S$24,1,7)),INDEX(Parametry!$H$24:$S$24,1,7),"")))</f>
        <v>0</v>
      </c>
      <c r="K111" s="34">
        <f>IF(C111="","",IF(7&lt;=Parametry!$G$7,0,IF(AND(ISNUMBER(I111),ISNUMBER(J111),J111&gt;=-1),I111*(1+J111),"")))</f>
        <v>32000</v>
      </c>
      <c r="L111" s="34">
        <f>IF(C111="","",IF(7&lt;=Parametry!$G$7,G111,IF(ISNUMBER(K111),H111+K111,"")))</f>
        <v>32000</v>
      </c>
      <c r="M111" s="22">
        <f t="shared" si="2"/>
        <v>0</v>
      </c>
      <c r="N111" s="7">
        <f t="shared" si="3"/>
        <v>0</v>
      </c>
      <c r="O111" s="7"/>
      <c r="P111" s="7"/>
    </row>
    <row r="112" spans="1:16" ht="24" customHeight="1">
      <c r="A112" s="7"/>
      <c r="B112" s="7"/>
      <c r="C112" s="13" t="str">
        <f>IF(Plan!C17="","",Plan!C17)</f>
        <v>IT09</v>
      </c>
      <c r="D112" s="13" t="str">
        <f>IF(C112="","",Plan!D17)</f>
        <v>Zespół IT</v>
      </c>
      <c r="E112" s="33">
        <f>IF(OR(C112="",Parametry!$G$6=""),"",DATE(Parametry!$G$6,8,1))</f>
        <v>46600</v>
      </c>
      <c r="F112" s="34">
        <f>IF(C112="","",Plan!R17)</f>
        <v>32000</v>
      </c>
      <c r="G112" s="34">
        <f>IF(C112="","",SUMIFS(ERP!$I$9:$I$1008,ERP!$L$9:$L$1008,C112,ERP!$N$9:$N$1008,1,ERP!$M$9:$M$1008,8))</f>
        <v>0</v>
      </c>
      <c r="H112" s="34">
        <f>IF(C112="","",IF(8&lt;=Parametry!$G$7,0,SUMIFS(Umowy!$N$9:$N$108,Umowy!$D$9:$D$108,C112,Umowy!$O$9:$O$108,8)))</f>
        <v>0</v>
      </c>
      <c r="I112" s="34">
        <f>IF(C112="","",IF(8&lt;=Parametry!$G$7,0,IF(COUNTIFS(Prognoza!$C$9:$C$38,C112)=1,IF(ISBLANK(INDEX(Prognoza!$K$9:$V$38,MATCH($C112,Prognoza!$C$9:$C$38,0),8)),"",IF(ISNUMBER(INDEX(Prognoza!$K$9:$V$38,MATCH($C112,Prognoza!$C$9:$C$38,0),8)),INDEX(Prognoza!$K$9:$V$38,MATCH($C112,Prognoza!$C$9:$C$38,0),8),"")),"")))</f>
        <v>32000</v>
      </c>
      <c r="J112" s="35">
        <f>IF(C112="","",IF(Plan!F17="Run",IF(ISNUMBER(INDEX(Parametry!$H$18:$S$18,1,8)),INDEX(Parametry!$H$18:$S$18,1,8),""),IF(ISNUMBER(INDEX(Parametry!$H$24:$S$24,1,8)),INDEX(Parametry!$H$24:$S$24,1,8),"")))</f>
        <v>0</v>
      </c>
      <c r="K112" s="34">
        <f>IF(C112="","",IF(8&lt;=Parametry!$G$7,0,IF(AND(ISNUMBER(I112),ISNUMBER(J112),J112&gt;=-1),I112*(1+J112),"")))</f>
        <v>32000</v>
      </c>
      <c r="L112" s="34">
        <f>IF(C112="","",IF(8&lt;=Parametry!$G$7,G112,IF(ISNUMBER(K112),H112+K112,"")))</f>
        <v>32000</v>
      </c>
      <c r="M112" s="22">
        <f t="shared" si="2"/>
        <v>0</v>
      </c>
      <c r="N112" s="7">
        <f t="shared" si="3"/>
        <v>0</v>
      </c>
      <c r="O112" s="7"/>
      <c r="P112" s="7"/>
    </row>
    <row r="113" spans="1:16" ht="24" customHeight="1">
      <c r="A113" s="7"/>
      <c r="B113" s="7"/>
      <c r="C113" s="13" t="str">
        <f>IF(Plan!C17="","",Plan!C17)</f>
        <v>IT09</v>
      </c>
      <c r="D113" s="13" t="str">
        <f>IF(C113="","",Plan!D17)</f>
        <v>Zespół IT</v>
      </c>
      <c r="E113" s="33">
        <f>IF(OR(C113="",Parametry!$G$6=""),"",DATE(Parametry!$G$6,9,1))</f>
        <v>46631</v>
      </c>
      <c r="F113" s="34">
        <f>IF(C113="","",Plan!S17)</f>
        <v>32000</v>
      </c>
      <c r="G113" s="34">
        <f>IF(C113="","",SUMIFS(ERP!$I$9:$I$1008,ERP!$L$9:$L$1008,C113,ERP!$N$9:$N$1008,1,ERP!$M$9:$M$1008,9))</f>
        <v>0</v>
      </c>
      <c r="H113" s="34">
        <f>IF(C113="","",IF(9&lt;=Parametry!$G$7,0,SUMIFS(Umowy!$N$9:$N$108,Umowy!$D$9:$D$108,C113,Umowy!$O$9:$O$108,9)))</f>
        <v>0</v>
      </c>
      <c r="I113" s="34">
        <f>IF(C113="","",IF(9&lt;=Parametry!$G$7,0,IF(COUNTIFS(Prognoza!$C$9:$C$38,C113)=1,IF(ISBLANK(INDEX(Prognoza!$K$9:$V$38,MATCH($C113,Prognoza!$C$9:$C$38,0),9)),"",IF(ISNUMBER(INDEX(Prognoza!$K$9:$V$38,MATCH($C113,Prognoza!$C$9:$C$38,0),9)),INDEX(Prognoza!$K$9:$V$38,MATCH($C113,Prognoza!$C$9:$C$38,0),9),"")),"")))</f>
        <v>32000</v>
      </c>
      <c r="J113" s="35">
        <f>IF(C113="","",IF(Plan!F17="Run",IF(ISNUMBER(INDEX(Parametry!$H$18:$S$18,1,9)),INDEX(Parametry!$H$18:$S$18,1,9),""),IF(ISNUMBER(INDEX(Parametry!$H$24:$S$24,1,9)),INDEX(Parametry!$H$24:$S$24,1,9),"")))</f>
        <v>0</v>
      </c>
      <c r="K113" s="34">
        <f>IF(C113="","",IF(9&lt;=Parametry!$G$7,0,IF(AND(ISNUMBER(I113),ISNUMBER(J113),J113&gt;=-1),I113*(1+J113),"")))</f>
        <v>32000</v>
      </c>
      <c r="L113" s="34">
        <f>IF(C113="","",IF(9&lt;=Parametry!$G$7,G113,IF(ISNUMBER(K113),H113+K113,"")))</f>
        <v>32000</v>
      </c>
      <c r="M113" s="22">
        <f t="shared" si="2"/>
        <v>0</v>
      </c>
      <c r="N113" s="7">
        <f t="shared" si="3"/>
        <v>0</v>
      </c>
      <c r="O113" s="7"/>
      <c r="P113" s="7"/>
    </row>
    <row r="114" spans="1:16" ht="24" customHeight="1">
      <c r="A114" s="7"/>
      <c r="B114" s="7"/>
      <c r="C114" s="13" t="str">
        <f>IF(Plan!C17="","",Plan!C17)</f>
        <v>IT09</v>
      </c>
      <c r="D114" s="13" t="str">
        <f>IF(C114="","",Plan!D17)</f>
        <v>Zespół IT</v>
      </c>
      <c r="E114" s="33">
        <f>IF(OR(C114="",Parametry!$G$6=""),"",DATE(Parametry!$G$6,10,1))</f>
        <v>46661</v>
      </c>
      <c r="F114" s="34">
        <f>IF(C114="","",Plan!T17)</f>
        <v>32000</v>
      </c>
      <c r="G114" s="34">
        <f>IF(C114="","",SUMIFS(ERP!$I$9:$I$1008,ERP!$L$9:$L$1008,C114,ERP!$N$9:$N$1008,1,ERP!$M$9:$M$1008,10))</f>
        <v>0</v>
      </c>
      <c r="H114" s="34">
        <f>IF(C114="","",IF(10&lt;=Parametry!$G$7,0,SUMIFS(Umowy!$N$9:$N$108,Umowy!$D$9:$D$108,C114,Umowy!$O$9:$O$108,10)))</f>
        <v>0</v>
      </c>
      <c r="I114" s="34">
        <f>IF(C114="","",IF(10&lt;=Parametry!$G$7,0,IF(COUNTIFS(Prognoza!$C$9:$C$38,C114)=1,IF(ISBLANK(INDEX(Prognoza!$K$9:$V$38,MATCH($C114,Prognoza!$C$9:$C$38,0),10)),"",IF(ISNUMBER(INDEX(Prognoza!$K$9:$V$38,MATCH($C114,Prognoza!$C$9:$C$38,0),10)),INDEX(Prognoza!$K$9:$V$38,MATCH($C114,Prognoza!$C$9:$C$38,0),10),"")),"")))</f>
        <v>32000</v>
      </c>
      <c r="J114" s="35">
        <f>IF(C114="","",IF(Plan!F17="Run",IF(ISNUMBER(INDEX(Parametry!$H$18:$S$18,1,10)),INDEX(Parametry!$H$18:$S$18,1,10),""),IF(ISNUMBER(INDEX(Parametry!$H$24:$S$24,1,10)),INDEX(Parametry!$H$24:$S$24,1,10),"")))</f>
        <v>0</v>
      </c>
      <c r="K114" s="34">
        <f>IF(C114="","",IF(10&lt;=Parametry!$G$7,0,IF(AND(ISNUMBER(I114),ISNUMBER(J114),J114&gt;=-1),I114*(1+J114),"")))</f>
        <v>32000</v>
      </c>
      <c r="L114" s="34">
        <f>IF(C114="","",IF(10&lt;=Parametry!$G$7,G114,IF(ISNUMBER(K114),H114+K114,"")))</f>
        <v>32000</v>
      </c>
      <c r="M114" s="22">
        <f t="shared" si="2"/>
        <v>0</v>
      </c>
      <c r="N114" s="7">
        <f t="shared" si="3"/>
        <v>0</v>
      </c>
      <c r="O114" s="7"/>
      <c r="P114" s="7"/>
    </row>
    <row r="115" spans="1:16" ht="24" customHeight="1">
      <c r="A115" s="7"/>
      <c r="B115" s="7"/>
      <c r="C115" s="13" t="str">
        <f>IF(Plan!C17="","",Plan!C17)</f>
        <v>IT09</v>
      </c>
      <c r="D115" s="13" t="str">
        <f>IF(C115="","",Plan!D17)</f>
        <v>Zespół IT</v>
      </c>
      <c r="E115" s="33">
        <f>IF(OR(C115="",Parametry!$G$6=""),"",DATE(Parametry!$G$6,11,1))</f>
        <v>46692</v>
      </c>
      <c r="F115" s="34">
        <f>IF(C115="","",Plan!U17)</f>
        <v>32000</v>
      </c>
      <c r="G115" s="34">
        <f>IF(C115="","",SUMIFS(ERP!$I$9:$I$1008,ERP!$L$9:$L$1008,C115,ERP!$N$9:$N$1008,1,ERP!$M$9:$M$1008,11))</f>
        <v>0</v>
      </c>
      <c r="H115" s="34">
        <f>IF(C115="","",IF(11&lt;=Parametry!$G$7,0,SUMIFS(Umowy!$N$9:$N$108,Umowy!$D$9:$D$108,C115,Umowy!$O$9:$O$108,11)))</f>
        <v>0</v>
      </c>
      <c r="I115" s="34">
        <f>IF(C115="","",IF(11&lt;=Parametry!$G$7,0,IF(COUNTIFS(Prognoza!$C$9:$C$38,C115)=1,IF(ISBLANK(INDEX(Prognoza!$K$9:$V$38,MATCH($C115,Prognoza!$C$9:$C$38,0),11)),"",IF(ISNUMBER(INDEX(Prognoza!$K$9:$V$38,MATCH($C115,Prognoza!$C$9:$C$38,0),11)),INDEX(Prognoza!$K$9:$V$38,MATCH($C115,Prognoza!$C$9:$C$38,0),11),"")),"")))</f>
        <v>32000</v>
      </c>
      <c r="J115" s="35">
        <f>IF(C115="","",IF(Plan!F17="Run",IF(ISNUMBER(INDEX(Parametry!$H$18:$S$18,1,11)),INDEX(Parametry!$H$18:$S$18,1,11),""),IF(ISNUMBER(INDEX(Parametry!$H$24:$S$24,1,11)),INDEX(Parametry!$H$24:$S$24,1,11),"")))</f>
        <v>0</v>
      </c>
      <c r="K115" s="34">
        <f>IF(C115="","",IF(11&lt;=Parametry!$G$7,0,IF(AND(ISNUMBER(I115),ISNUMBER(J115),J115&gt;=-1),I115*(1+J115),"")))</f>
        <v>32000</v>
      </c>
      <c r="L115" s="34">
        <f>IF(C115="","",IF(11&lt;=Parametry!$G$7,G115,IF(ISNUMBER(K115),H115+K115,"")))</f>
        <v>32000</v>
      </c>
      <c r="M115" s="22">
        <f t="shared" si="2"/>
        <v>0</v>
      </c>
      <c r="N115" s="7">
        <f t="shared" si="3"/>
        <v>0</v>
      </c>
      <c r="O115" s="7"/>
      <c r="P115" s="7"/>
    </row>
    <row r="116" spans="1:16" ht="24" customHeight="1">
      <c r="A116" s="7"/>
      <c r="B116" s="7"/>
      <c r="C116" s="13" t="str">
        <f>IF(Plan!C17="","",Plan!C17)</f>
        <v>IT09</v>
      </c>
      <c r="D116" s="13" t="str">
        <f>IF(C116="","",Plan!D17)</f>
        <v>Zespół IT</v>
      </c>
      <c r="E116" s="33">
        <f>IF(OR(C116="",Parametry!$G$6=""),"",DATE(Parametry!$G$6,12,1))</f>
        <v>46722</v>
      </c>
      <c r="F116" s="34">
        <f>IF(C116="","",Plan!V17)</f>
        <v>32000</v>
      </c>
      <c r="G116" s="34">
        <f>IF(C116="","",SUMIFS(ERP!$I$9:$I$1008,ERP!$L$9:$L$1008,C116,ERP!$N$9:$N$1008,1,ERP!$M$9:$M$1008,12))</f>
        <v>0</v>
      </c>
      <c r="H116" s="34">
        <f>IF(C116="","",IF(12&lt;=Parametry!$G$7,0,SUMIFS(Umowy!$N$9:$N$108,Umowy!$D$9:$D$108,C116,Umowy!$O$9:$O$108,12)))</f>
        <v>0</v>
      </c>
      <c r="I116" s="34">
        <f>IF(C116="","",IF(12&lt;=Parametry!$G$7,0,IF(COUNTIFS(Prognoza!$C$9:$C$38,C116)=1,IF(ISBLANK(INDEX(Prognoza!$K$9:$V$38,MATCH($C116,Prognoza!$C$9:$C$38,0),12)),"",IF(ISNUMBER(INDEX(Prognoza!$K$9:$V$38,MATCH($C116,Prognoza!$C$9:$C$38,0),12)),INDEX(Prognoza!$K$9:$V$38,MATCH($C116,Prognoza!$C$9:$C$38,0),12),"")),"")))</f>
        <v>32000</v>
      </c>
      <c r="J116" s="35">
        <f>IF(C116="","",IF(Plan!F17="Run",IF(ISNUMBER(INDEX(Parametry!$H$18:$S$18,1,12)),INDEX(Parametry!$H$18:$S$18,1,12),""),IF(ISNUMBER(INDEX(Parametry!$H$24:$S$24,1,12)),INDEX(Parametry!$H$24:$S$24,1,12),"")))</f>
        <v>0</v>
      </c>
      <c r="K116" s="34">
        <f>IF(C116="","",IF(12&lt;=Parametry!$G$7,0,IF(AND(ISNUMBER(I116),ISNUMBER(J116),J116&gt;=-1),I116*(1+J116),"")))</f>
        <v>32000</v>
      </c>
      <c r="L116" s="34">
        <f>IF(C116="","",IF(12&lt;=Parametry!$G$7,G116,IF(ISNUMBER(K116),H116+K116,"")))</f>
        <v>32000</v>
      </c>
      <c r="M116" s="22">
        <f t="shared" si="2"/>
        <v>0</v>
      </c>
      <c r="N116" s="7">
        <f t="shared" si="3"/>
        <v>0</v>
      </c>
      <c r="O116" s="7"/>
      <c r="P116" s="7"/>
    </row>
    <row r="117" spans="1:16" ht="24" customHeight="1">
      <c r="A117" s="7"/>
      <c r="B117" s="7"/>
      <c r="C117" s="13" t="str">
        <f>IF(Plan!C18="","",Plan!C18)</f>
        <v>IT10</v>
      </c>
      <c r="D117" s="13" t="str">
        <f>IF(C117="","",Plan!D18)</f>
        <v>Prace wydajnościowe ERP</v>
      </c>
      <c r="E117" s="33">
        <f>IF(OR(C117="",Parametry!$G$6=""),"",DATE(Parametry!$G$6,1,1))</f>
        <v>46388</v>
      </c>
      <c r="F117" s="34">
        <f>IF(C117="","",Plan!K18)</f>
        <v>0</v>
      </c>
      <c r="G117" s="34">
        <f>IF(C117="","",SUMIFS(ERP!$I$9:$I$1008,ERP!$L$9:$L$1008,C117,ERP!$N$9:$N$1008,1,ERP!$M$9:$M$1008,1))</f>
        <v>0</v>
      </c>
      <c r="H117" s="34">
        <f>IF(C117="","",IF(1&lt;=Parametry!$G$7,0,SUMIFS(Umowy!$N$9:$N$108,Umowy!$D$9:$D$108,C117,Umowy!$O$9:$O$108,1)))</f>
        <v>0</v>
      </c>
      <c r="I117" s="34">
        <f>IF(C117="","",IF(1&lt;=Parametry!$G$7,0,IF(COUNTIFS(Prognoza!$C$9:$C$38,C117)=1,IF(ISBLANK(INDEX(Prognoza!$K$9:$V$38,MATCH($C117,Prognoza!$C$9:$C$38,0),1)),"",IF(ISNUMBER(INDEX(Prognoza!$K$9:$V$38,MATCH($C117,Prognoza!$C$9:$C$38,0),1)),INDEX(Prognoza!$K$9:$V$38,MATCH($C117,Prognoza!$C$9:$C$38,0),1),"")),"")))</f>
        <v>0</v>
      </c>
      <c r="J117" s="35">
        <f>IF(C117="","",IF(Plan!F18="Run",IF(ISNUMBER(INDEX(Parametry!$H$18:$S$18,1,1)),INDEX(Parametry!$H$18:$S$18,1,1),""),IF(ISNUMBER(INDEX(Parametry!$H$24:$S$24,1,1)),INDEX(Parametry!$H$24:$S$24,1,1),"")))</f>
        <v>0</v>
      </c>
      <c r="K117" s="34">
        <f>IF(C117="","",IF(1&lt;=Parametry!$G$7,0,IF(AND(ISNUMBER(I117),ISNUMBER(J117),J117&gt;=-1),I117*(1+J117),"")))</f>
        <v>0</v>
      </c>
      <c r="L117" s="34">
        <f>IF(C117="","",IF(1&lt;=Parametry!$G$7,G117,IF(ISNUMBER(K117),H117+K117,"")))</f>
        <v>0</v>
      </c>
      <c r="M117" s="22">
        <f t="shared" si="2"/>
        <v>0</v>
      </c>
      <c r="N117" s="7">
        <f t="shared" si="3"/>
        <v>0</v>
      </c>
      <c r="O117" s="7"/>
      <c r="P117" s="7"/>
    </row>
    <row r="118" spans="1:16" ht="24" customHeight="1">
      <c r="A118" s="7"/>
      <c r="B118" s="7"/>
      <c r="C118" s="13" t="str">
        <f>IF(Plan!C18="","",Plan!C18)</f>
        <v>IT10</v>
      </c>
      <c r="D118" s="13" t="str">
        <f>IF(C118="","",Plan!D18)</f>
        <v>Prace wydajnościowe ERP</v>
      </c>
      <c r="E118" s="33">
        <f>IF(OR(C118="",Parametry!$G$6=""),"",DATE(Parametry!$G$6,2,1))</f>
        <v>46419</v>
      </c>
      <c r="F118" s="34">
        <f>IF(C118="","",Plan!L18)</f>
        <v>0</v>
      </c>
      <c r="G118" s="34">
        <f>IF(C118="","",SUMIFS(ERP!$I$9:$I$1008,ERP!$L$9:$L$1008,C118,ERP!$N$9:$N$1008,1,ERP!$M$9:$M$1008,2))</f>
        <v>0</v>
      </c>
      <c r="H118" s="34">
        <f>IF(C118="","",IF(2&lt;=Parametry!$G$7,0,SUMIFS(Umowy!$N$9:$N$108,Umowy!$D$9:$D$108,C118,Umowy!$O$9:$O$108,2)))</f>
        <v>0</v>
      </c>
      <c r="I118" s="34">
        <f>IF(C118="","",IF(2&lt;=Parametry!$G$7,0,IF(COUNTIFS(Prognoza!$C$9:$C$38,C118)=1,IF(ISBLANK(INDEX(Prognoza!$K$9:$V$38,MATCH($C118,Prognoza!$C$9:$C$38,0),2)),"",IF(ISNUMBER(INDEX(Prognoza!$K$9:$V$38,MATCH($C118,Prognoza!$C$9:$C$38,0),2)),INDEX(Prognoza!$K$9:$V$38,MATCH($C118,Prognoza!$C$9:$C$38,0),2),"")),"")))</f>
        <v>0</v>
      </c>
      <c r="J118" s="35">
        <f>IF(C118="","",IF(Plan!F18="Run",IF(ISNUMBER(INDEX(Parametry!$H$18:$S$18,1,2)),INDEX(Parametry!$H$18:$S$18,1,2),""),IF(ISNUMBER(INDEX(Parametry!$H$24:$S$24,1,2)),INDEX(Parametry!$H$24:$S$24,1,2),"")))</f>
        <v>0</v>
      </c>
      <c r="K118" s="34">
        <f>IF(C118="","",IF(2&lt;=Parametry!$G$7,0,IF(AND(ISNUMBER(I118),ISNUMBER(J118),J118&gt;=-1),I118*(1+J118),"")))</f>
        <v>0</v>
      </c>
      <c r="L118" s="34">
        <f>IF(C118="","",IF(2&lt;=Parametry!$G$7,G118,IF(ISNUMBER(K118),H118+K118,"")))</f>
        <v>0</v>
      </c>
      <c r="M118" s="22">
        <f t="shared" si="2"/>
        <v>0</v>
      </c>
      <c r="N118" s="7">
        <f t="shared" si="3"/>
        <v>0</v>
      </c>
      <c r="O118" s="7"/>
      <c r="P118" s="7"/>
    </row>
    <row r="119" spans="1:16" ht="24" customHeight="1">
      <c r="A119" s="7"/>
      <c r="B119" s="7"/>
      <c r="C119" s="13" t="str">
        <f>IF(Plan!C18="","",Plan!C18)</f>
        <v>IT10</v>
      </c>
      <c r="D119" s="13" t="str">
        <f>IF(C119="","",Plan!D18)</f>
        <v>Prace wydajnościowe ERP</v>
      </c>
      <c r="E119" s="33">
        <f>IF(OR(C119="",Parametry!$G$6=""),"",DATE(Parametry!$G$6,3,1))</f>
        <v>46447</v>
      </c>
      <c r="F119" s="34">
        <f>IF(C119="","",Plan!M18)</f>
        <v>0</v>
      </c>
      <c r="G119" s="34">
        <f>IF(C119="","",SUMIFS(ERP!$I$9:$I$1008,ERP!$L$9:$L$1008,C119,ERP!$N$9:$N$1008,1,ERP!$M$9:$M$1008,3))</f>
        <v>0</v>
      </c>
      <c r="H119" s="34">
        <f>IF(C119="","",IF(3&lt;=Parametry!$G$7,0,SUMIFS(Umowy!$N$9:$N$108,Umowy!$D$9:$D$108,C119,Umowy!$O$9:$O$108,3)))</f>
        <v>0</v>
      </c>
      <c r="I119" s="34">
        <f>IF(C119="","",IF(3&lt;=Parametry!$G$7,0,IF(COUNTIFS(Prognoza!$C$9:$C$38,C119)=1,IF(ISBLANK(INDEX(Prognoza!$K$9:$V$38,MATCH($C119,Prognoza!$C$9:$C$38,0),3)),"",IF(ISNUMBER(INDEX(Prognoza!$K$9:$V$38,MATCH($C119,Prognoza!$C$9:$C$38,0),3)),INDEX(Prognoza!$K$9:$V$38,MATCH($C119,Prognoza!$C$9:$C$38,0),3),"")),"")))</f>
        <v>0</v>
      </c>
      <c r="J119" s="35">
        <f>IF(C119="","",IF(Plan!F18="Run",IF(ISNUMBER(INDEX(Parametry!$H$18:$S$18,1,3)),INDEX(Parametry!$H$18:$S$18,1,3),""),IF(ISNUMBER(INDEX(Parametry!$H$24:$S$24,1,3)),INDEX(Parametry!$H$24:$S$24,1,3),"")))</f>
        <v>0</v>
      </c>
      <c r="K119" s="34">
        <f>IF(C119="","",IF(3&lt;=Parametry!$G$7,0,IF(AND(ISNUMBER(I119),ISNUMBER(J119),J119&gt;=-1),I119*(1+J119),"")))</f>
        <v>0</v>
      </c>
      <c r="L119" s="34">
        <f>IF(C119="","",IF(3&lt;=Parametry!$G$7,G119,IF(ISNUMBER(K119),H119+K119,"")))</f>
        <v>0</v>
      </c>
      <c r="M119" s="22">
        <f t="shared" si="2"/>
        <v>0</v>
      </c>
      <c r="N119" s="7">
        <f t="shared" si="3"/>
        <v>0</v>
      </c>
      <c r="O119" s="7"/>
      <c r="P119" s="7"/>
    </row>
    <row r="120" spans="1:16" ht="24" customHeight="1">
      <c r="A120" s="7"/>
      <c r="B120" s="7"/>
      <c r="C120" s="13" t="str">
        <f>IF(Plan!C18="","",Plan!C18)</f>
        <v>IT10</v>
      </c>
      <c r="D120" s="13" t="str">
        <f>IF(C120="","",Plan!D18)</f>
        <v>Prace wydajnościowe ERP</v>
      </c>
      <c r="E120" s="33">
        <f>IF(OR(C120="",Parametry!$G$6=""),"",DATE(Parametry!$G$6,4,1))</f>
        <v>46478</v>
      </c>
      <c r="F120" s="34">
        <f>IF(C120="","",Plan!N18)</f>
        <v>0</v>
      </c>
      <c r="G120" s="34">
        <f>IF(C120="","",SUMIFS(ERP!$I$9:$I$1008,ERP!$L$9:$L$1008,C120,ERP!$N$9:$N$1008,1,ERP!$M$9:$M$1008,4))</f>
        <v>0</v>
      </c>
      <c r="H120" s="34">
        <f>IF(C120="","",IF(4&lt;=Parametry!$G$7,0,SUMIFS(Umowy!$N$9:$N$108,Umowy!$D$9:$D$108,C120,Umowy!$O$9:$O$108,4)))</f>
        <v>0</v>
      </c>
      <c r="I120" s="34">
        <f>IF(C120="","",IF(4&lt;=Parametry!$G$7,0,IF(COUNTIFS(Prognoza!$C$9:$C$38,C120)=1,IF(ISBLANK(INDEX(Prognoza!$K$9:$V$38,MATCH($C120,Prognoza!$C$9:$C$38,0),4)),"",IF(ISNUMBER(INDEX(Prognoza!$K$9:$V$38,MATCH($C120,Prognoza!$C$9:$C$38,0),4)),INDEX(Prognoza!$K$9:$V$38,MATCH($C120,Prognoza!$C$9:$C$38,0),4),"")),"")))</f>
        <v>0</v>
      </c>
      <c r="J120" s="35">
        <f>IF(C120="","",IF(Plan!F18="Run",IF(ISNUMBER(INDEX(Parametry!$H$18:$S$18,1,4)),INDEX(Parametry!$H$18:$S$18,1,4),""),IF(ISNUMBER(INDEX(Parametry!$H$24:$S$24,1,4)),INDEX(Parametry!$H$24:$S$24,1,4),"")))</f>
        <v>0</v>
      </c>
      <c r="K120" s="34">
        <f>IF(C120="","",IF(4&lt;=Parametry!$G$7,0,IF(AND(ISNUMBER(I120),ISNUMBER(J120),J120&gt;=-1),I120*(1+J120),"")))</f>
        <v>0</v>
      </c>
      <c r="L120" s="34">
        <f>IF(C120="","",IF(4&lt;=Parametry!$G$7,G120,IF(ISNUMBER(K120),H120+K120,"")))</f>
        <v>0</v>
      </c>
      <c r="M120" s="22">
        <f t="shared" si="2"/>
        <v>0</v>
      </c>
      <c r="N120" s="7">
        <f t="shared" si="3"/>
        <v>0</v>
      </c>
      <c r="O120" s="7"/>
      <c r="P120" s="7"/>
    </row>
    <row r="121" spans="1:16" ht="24" customHeight="1">
      <c r="A121" s="7"/>
      <c r="B121" s="7"/>
      <c r="C121" s="13" t="str">
        <f>IF(Plan!C18="","",Plan!C18)</f>
        <v>IT10</v>
      </c>
      <c r="D121" s="13" t="str">
        <f>IF(C121="","",Plan!D18)</f>
        <v>Prace wydajnościowe ERP</v>
      </c>
      <c r="E121" s="33">
        <f>IF(OR(C121="",Parametry!$G$6=""),"",DATE(Parametry!$G$6,5,1))</f>
        <v>46508</v>
      </c>
      <c r="F121" s="34">
        <f>IF(C121="","",Plan!O18)</f>
        <v>18000</v>
      </c>
      <c r="G121" s="34">
        <f>IF(C121="","",SUMIFS(ERP!$I$9:$I$1008,ERP!$L$9:$L$1008,C121,ERP!$N$9:$N$1008,1,ERP!$M$9:$M$1008,5))</f>
        <v>18000</v>
      </c>
      <c r="H121" s="34">
        <f>IF(C121="","",IF(5&lt;=Parametry!$G$7,0,SUMIFS(Umowy!$N$9:$N$108,Umowy!$D$9:$D$108,C121,Umowy!$O$9:$O$108,5)))</f>
        <v>0</v>
      </c>
      <c r="I121" s="34">
        <f>IF(C121="","",IF(5&lt;=Parametry!$G$7,0,IF(COUNTIFS(Prognoza!$C$9:$C$38,C121)=1,IF(ISBLANK(INDEX(Prognoza!$K$9:$V$38,MATCH($C121,Prognoza!$C$9:$C$38,0),5)),"",IF(ISNUMBER(INDEX(Prognoza!$K$9:$V$38,MATCH($C121,Prognoza!$C$9:$C$38,0),5)),INDEX(Prognoza!$K$9:$V$38,MATCH($C121,Prognoza!$C$9:$C$38,0),5),"")),"")))</f>
        <v>0</v>
      </c>
      <c r="J121" s="35">
        <f>IF(C121="","",IF(Plan!F18="Run",IF(ISNUMBER(INDEX(Parametry!$H$18:$S$18,1,5)),INDEX(Parametry!$H$18:$S$18,1,5),""),IF(ISNUMBER(INDEX(Parametry!$H$24:$S$24,1,5)),INDEX(Parametry!$H$24:$S$24,1,5),"")))</f>
        <v>0</v>
      </c>
      <c r="K121" s="34">
        <f>IF(C121="","",IF(5&lt;=Parametry!$G$7,0,IF(AND(ISNUMBER(I121),ISNUMBER(J121),J121&gt;=-1),I121*(1+J121),"")))</f>
        <v>0</v>
      </c>
      <c r="L121" s="34">
        <f>IF(C121="","",IF(5&lt;=Parametry!$G$7,G121,IF(ISNUMBER(K121),H121+K121,"")))</f>
        <v>18000</v>
      </c>
      <c r="M121" s="22">
        <f t="shared" si="2"/>
        <v>0</v>
      </c>
      <c r="N121" s="7">
        <f t="shared" si="3"/>
        <v>0</v>
      </c>
      <c r="O121" s="7"/>
      <c r="P121" s="7"/>
    </row>
    <row r="122" spans="1:16" ht="24" customHeight="1">
      <c r="A122" s="7"/>
      <c r="B122" s="7"/>
      <c r="C122" s="13" t="str">
        <f>IF(Plan!C18="","",Plan!C18)</f>
        <v>IT10</v>
      </c>
      <c r="D122" s="13" t="str">
        <f>IF(C122="","",Plan!D18)</f>
        <v>Prace wydajnościowe ERP</v>
      </c>
      <c r="E122" s="33">
        <f>IF(OR(C122="",Parametry!$G$6=""),"",DATE(Parametry!$G$6,6,1))</f>
        <v>46539</v>
      </c>
      <c r="F122" s="34">
        <f>IF(C122="","",Plan!P18)</f>
        <v>0</v>
      </c>
      <c r="G122" s="34">
        <f>IF(C122="","",SUMIFS(ERP!$I$9:$I$1008,ERP!$L$9:$L$1008,C122,ERP!$N$9:$N$1008,1,ERP!$M$9:$M$1008,6))</f>
        <v>0</v>
      </c>
      <c r="H122" s="34">
        <f>IF(C122="","",IF(6&lt;=Parametry!$G$7,0,SUMIFS(Umowy!$N$9:$N$108,Umowy!$D$9:$D$108,C122,Umowy!$O$9:$O$108,6)))</f>
        <v>0</v>
      </c>
      <c r="I122" s="34">
        <f>IF(C122="","",IF(6&lt;=Parametry!$G$7,0,IF(COUNTIFS(Prognoza!$C$9:$C$38,C122)=1,IF(ISBLANK(INDEX(Prognoza!$K$9:$V$38,MATCH($C122,Prognoza!$C$9:$C$38,0),6)),"",IF(ISNUMBER(INDEX(Prognoza!$K$9:$V$38,MATCH($C122,Prognoza!$C$9:$C$38,0),6)),INDEX(Prognoza!$K$9:$V$38,MATCH($C122,Prognoza!$C$9:$C$38,0),6),"")),"")))</f>
        <v>0</v>
      </c>
      <c r="J122" s="35">
        <f>IF(C122="","",IF(Plan!F18="Run",IF(ISNUMBER(INDEX(Parametry!$H$18:$S$18,1,6)),INDEX(Parametry!$H$18:$S$18,1,6),""),IF(ISNUMBER(INDEX(Parametry!$H$24:$S$24,1,6)),INDEX(Parametry!$H$24:$S$24,1,6),"")))</f>
        <v>0</v>
      </c>
      <c r="K122" s="34">
        <f>IF(C122="","",IF(6&lt;=Parametry!$G$7,0,IF(AND(ISNUMBER(I122),ISNUMBER(J122),J122&gt;=-1),I122*(1+J122),"")))</f>
        <v>0</v>
      </c>
      <c r="L122" s="34">
        <f>IF(C122="","",IF(6&lt;=Parametry!$G$7,G122,IF(ISNUMBER(K122),H122+K122,"")))</f>
        <v>0</v>
      </c>
      <c r="M122" s="22">
        <f t="shared" si="2"/>
        <v>0</v>
      </c>
      <c r="N122" s="7">
        <f t="shared" si="3"/>
        <v>0</v>
      </c>
      <c r="O122" s="7"/>
      <c r="P122" s="7"/>
    </row>
    <row r="123" spans="1:16" ht="24" customHeight="1">
      <c r="A123" s="7"/>
      <c r="B123" s="7"/>
      <c r="C123" s="13" t="str">
        <f>IF(Plan!C18="","",Plan!C18)</f>
        <v>IT10</v>
      </c>
      <c r="D123" s="13" t="str">
        <f>IF(C123="","",Plan!D18)</f>
        <v>Prace wydajnościowe ERP</v>
      </c>
      <c r="E123" s="33">
        <f>IF(OR(C123="",Parametry!$G$6=""),"",DATE(Parametry!$G$6,7,1))</f>
        <v>46569</v>
      </c>
      <c r="F123" s="34">
        <f>IF(C123="","",Plan!Q18)</f>
        <v>0</v>
      </c>
      <c r="G123" s="34">
        <f>IF(C123="","",SUMIFS(ERP!$I$9:$I$1008,ERP!$L$9:$L$1008,C123,ERP!$N$9:$N$1008,1,ERP!$M$9:$M$1008,7))</f>
        <v>0</v>
      </c>
      <c r="H123" s="34">
        <f>IF(C123="","",IF(7&lt;=Parametry!$G$7,0,SUMIFS(Umowy!$N$9:$N$108,Umowy!$D$9:$D$108,C123,Umowy!$O$9:$O$108,7)))</f>
        <v>0</v>
      </c>
      <c r="I123" s="34">
        <f>IF(C123="","",IF(7&lt;=Parametry!$G$7,0,IF(COUNTIFS(Prognoza!$C$9:$C$38,C123)=1,IF(ISBLANK(INDEX(Prognoza!$K$9:$V$38,MATCH($C123,Prognoza!$C$9:$C$38,0),7)),"",IF(ISNUMBER(INDEX(Prognoza!$K$9:$V$38,MATCH($C123,Prognoza!$C$9:$C$38,0),7)),INDEX(Prognoza!$K$9:$V$38,MATCH($C123,Prognoza!$C$9:$C$38,0),7),"")),"")))</f>
        <v>0</v>
      </c>
      <c r="J123" s="35">
        <f>IF(C123="","",IF(Plan!F18="Run",IF(ISNUMBER(INDEX(Parametry!$H$18:$S$18,1,7)),INDEX(Parametry!$H$18:$S$18,1,7),""),IF(ISNUMBER(INDEX(Parametry!$H$24:$S$24,1,7)),INDEX(Parametry!$H$24:$S$24,1,7),"")))</f>
        <v>0</v>
      </c>
      <c r="K123" s="34">
        <f>IF(C123="","",IF(7&lt;=Parametry!$G$7,0,IF(AND(ISNUMBER(I123),ISNUMBER(J123),J123&gt;=-1),I123*(1+J123),"")))</f>
        <v>0</v>
      </c>
      <c r="L123" s="34">
        <f>IF(C123="","",IF(7&lt;=Parametry!$G$7,G123,IF(ISNUMBER(K123),H123+K123,"")))</f>
        <v>0</v>
      </c>
      <c r="M123" s="22">
        <f t="shared" si="2"/>
        <v>0</v>
      </c>
      <c r="N123" s="7">
        <f t="shared" si="3"/>
        <v>0</v>
      </c>
      <c r="O123" s="7"/>
      <c r="P123" s="7"/>
    </row>
    <row r="124" spans="1:16" ht="24" customHeight="1">
      <c r="A124" s="7"/>
      <c r="B124" s="7"/>
      <c r="C124" s="13" t="str">
        <f>IF(Plan!C18="","",Plan!C18)</f>
        <v>IT10</v>
      </c>
      <c r="D124" s="13" t="str">
        <f>IF(C124="","",Plan!D18)</f>
        <v>Prace wydajnościowe ERP</v>
      </c>
      <c r="E124" s="33">
        <f>IF(OR(C124="",Parametry!$G$6=""),"",DATE(Parametry!$G$6,8,1))</f>
        <v>46600</v>
      </c>
      <c r="F124" s="34">
        <f>IF(C124="","",Plan!R18)</f>
        <v>0</v>
      </c>
      <c r="G124" s="34">
        <f>IF(C124="","",SUMIFS(ERP!$I$9:$I$1008,ERP!$L$9:$L$1008,C124,ERP!$N$9:$N$1008,1,ERP!$M$9:$M$1008,8))</f>
        <v>0</v>
      </c>
      <c r="H124" s="34">
        <f>IF(C124="","",IF(8&lt;=Parametry!$G$7,0,SUMIFS(Umowy!$N$9:$N$108,Umowy!$D$9:$D$108,C124,Umowy!$O$9:$O$108,8)))</f>
        <v>0</v>
      </c>
      <c r="I124" s="34">
        <f>IF(C124="","",IF(8&lt;=Parametry!$G$7,0,IF(COUNTIFS(Prognoza!$C$9:$C$38,C124)=1,IF(ISBLANK(INDEX(Prognoza!$K$9:$V$38,MATCH($C124,Prognoza!$C$9:$C$38,0),8)),"",IF(ISNUMBER(INDEX(Prognoza!$K$9:$V$38,MATCH($C124,Prognoza!$C$9:$C$38,0),8)),INDEX(Prognoza!$K$9:$V$38,MATCH($C124,Prognoza!$C$9:$C$38,0),8),"")),"")))</f>
        <v>0</v>
      </c>
      <c r="J124" s="35">
        <f>IF(C124="","",IF(Plan!F18="Run",IF(ISNUMBER(INDEX(Parametry!$H$18:$S$18,1,8)),INDEX(Parametry!$H$18:$S$18,1,8),""),IF(ISNUMBER(INDEX(Parametry!$H$24:$S$24,1,8)),INDEX(Parametry!$H$24:$S$24,1,8),"")))</f>
        <v>0</v>
      </c>
      <c r="K124" s="34">
        <f>IF(C124="","",IF(8&lt;=Parametry!$G$7,0,IF(AND(ISNUMBER(I124),ISNUMBER(J124),J124&gt;=-1),I124*(1+J124),"")))</f>
        <v>0</v>
      </c>
      <c r="L124" s="34">
        <f>IF(C124="","",IF(8&lt;=Parametry!$G$7,G124,IF(ISNUMBER(K124),H124+K124,"")))</f>
        <v>0</v>
      </c>
      <c r="M124" s="22">
        <f t="shared" si="2"/>
        <v>0</v>
      </c>
      <c r="N124" s="7">
        <f t="shared" si="3"/>
        <v>0</v>
      </c>
      <c r="O124" s="7"/>
      <c r="P124" s="7"/>
    </row>
    <row r="125" spans="1:16" ht="24" customHeight="1">
      <c r="A125" s="7"/>
      <c r="B125" s="7"/>
      <c r="C125" s="13" t="str">
        <f>IF(Plan!C18="","",Plan!C18)</f>
        <v>IT10</v>
      </c>
      <c r="D125" s="13" t="str">
        <f>IF(C125="","",Plan!D18)</f>
        <v>Prace wydajnościowe ERP</v>
      </c>
      <c r="E125" s="33">
        <f>IF(OR(C125="",Parametry!$G$6=""),"",DATE(Parametry!$G$6,9,1))</f>
        <v>46631</v>
      </c>
      <c r="F125" s="34">
        <f>IF(C125="","",Plan!S18)</f>
        <v>0</v>
      </c>
      <c r="G125" s="34">
        <f>IF(C125="","",SUMIFS(ERP!$I$9:$I$1008,ERP!$L$9:$L$1008,C125,ERP!$N$9:$N$1008,1,ERP!$M$9:$M$1008,9))</f>
        <v>0</v>
      </c>
      <c r="H125" s="34">
        <f>IF(C125="","",IF(9&lt;=Parametry!$G$7,0,SUMIFS(Umowy!$N$9:$N$108,Umowy!$D$9:$D$108,C125,Umowy!$O$9:$O$108,9)))</f>
        <v>0</v>
      </c>
      <c r="I125" s="34">
        <f>IF(C125="","",IF(9&lt;=Parametry!$G$7,0,IF(COUNTIFS(Prognoza!$C$9:$C$38,C125)=1,IF(ISBLANK(INDEX(Prognoza!$K$9:$V$38,MATCH($C125,Prognoza!$C$9:$C$38,0),9)),"",IF(ISNUMBER(INDEX(Prognoza!$K$9:$V$38,MATCH($C125,Prognoza!$C$9:$C$38,0),9)),INDEX(Prognoza!$K$9:$V$38,MATCH($C125,Prognoza!$C$9:$C$38,0),9),"")),"")))</f>
        <v>0</v>
      </c>
      <c r="J125" s="35">
        <f>IF(C125="","",IF(Plan!F18="Run",IF(ISNUMBER(INDEX(Parametry!$H$18:$S$18,1,9)),INDEX(Parametry!$H$18:$S$18,1,9),""),IF(ISNUMBER(INDEX(Parametry!$H$24:$S$24,1,9)),INDEX(Parametry!$H$24:$S$24,1,9),"")))</f>
        <v>0</v>
      </c>
      <c r="K125" s="34">
        <f>IF(C125="","",IF(9&lt;=Parametry!$G$7,0,IF(AND(ISNUMBER(I125),ISNUMBER(J125),J125&gt;=-1),I125*(1+J125),"")))</f>
        <v>0</v>
      </c>
      <c r="L125" s="34">
        <f>IF(C125="","",IF(9&lt;=Parametry!$G$7,G125,IF(ISNUMBER(K125),H125+K125,"")))</f>
        <v>0</v>
      </c>
      <c r="M125" s="22">
        <f t="shared" si="2"/>
        <v>0</v>
      </c>
      <c r="N125" s="7">
        <f t="shared" si="3"/>
        <v>0</v>
      </c>
      <c r="O125" s="7"/>
      <c r="P125" s="7"/>
    </row>
    <row r="126" spans="1:16" ht="24" customHeight="1">
      <c r="A126" s="7"/>
      <c r="B126" s="7"/>
      <c r="C126" s="13" t="str">
        <f>IF(Plan!C18="","",Plan!C18)</f>
        <v>IT10</v>
      </c>
      <c r="D126" s="13" t="str">
        <f>IF(C126="","",Plan!D18)</f>
        <v>Prace wydajnościowe ERP</v>
      </c>
      <c r="E126" s="33">
        <f>IF(OR(C126="",Parametry!$G$6=""),"",DATE(Parametry!$G$6,10,1))</f>
        <v>46661</v>
      </c>
      <c r="F126" s="34">
        <f>IF(C126="","",Plan!T18)</f>
        <v>0</v>
      </c>
      <c r="G126" s="34">
        <f>IF(C126="","",SUMIFS(ERP!$I$9:$I$1008,ERP!$L$9:$L$1008,C126,ERP!$N$9:$N$1008,1,ERP!$M$9:$M$1008,10))</f>
        <v>0</v>
      </c>
      <c r="H126" s="34">
        <f>IF(C126="","",IF(10&lt;=Parametry!$G$7,0,SUMIFS(Umowy!$N$9:$N$108,Umowy!$D$9:$D$108,C126,Umowy!$O$9:$O$108,10)))</f>
        <v>0</v>
      </c>
      <c r="I126" s="34">
        <f>IF(C126="","",IF(10&lt;=Parametry!$G$7,0,IF(COUNTIFS(Prognoza!$C$9:$C$38,C126)=1,IF(ISBLANK(INDEX(Prognoza!$K$9:$V$38,MATCH($C126,Prognoza!$C$9:$C$38,0),10)),"",IF(ISNUMBER(INDEX(Prognoza!$K$9:$V$38,MATCH($C126,Prognoza!$C$9:$C$38,0),10)),INDEX(Prognoza!$K$9:$V$38,MATCH($C126,Prognoza!$C$9:$C$38,0),10),"")),"")))</f>
        <v>0</v>
      </c>
      <c r="J126" s="35">
        <f>IF(C126="","",IF(Plan!F18="Run",IF(ISNUMBER(INDEX(Parametry!$H$18:$S$18,1,10)),INDEX(Parametry!$H$18:$S$18,1,10),""),IF(ISNUMBER(INDEX(Parametry!$H$24:$S$24,1,10)),INDEX(Parametry!$H$24:$S$24,1,10),"")))</f>
        <v>0</v>
      </c>
      <c r="K126" s="34">
        <f>IF(C126="","",IF(10&lt;=Parametry!$G$7,0,IF(AND(ISNUMBER(I126),ISNUMBER(J126),J126&gt;=-1),I126*(1+J126),"")))</f>
        <v>0</v>
      </c>
      <c r="L126" s="34">
        <f>IF(C126="","",IF(10&lt;=Parametry!$G$7,G126,IF(ISNUMBER(K126),H126+K126,"")))</f>
        <v>0</v>
      </c>
      <c r="M126" s="22">
        <f t="shared" si="2"/>
        <v>0</v>
      </c>
      <c r="N126" s="7">
        <f t="shared" si="3"/>
        <v>0</v>
      </c>
      <c r="O126" s="7"/>
      <c r="P126" s="7"/>
    </row>
    <row r="127" spans="1:16" ht="24" customHeight="1">
      <c r="A127" s="7"/>
      <c r="B127" s="7"/>
      <c r="C127" s="13" t="str">
        <f>IF(Plan!C18="","",Plan!C18)</f>
        <v>IT10</v>
      </c>
      <c r="D127" s="13" t="str">
        <f>IF(C127="","",Plan!D18)</f>
        <v>Prace wydajnościowe ERP</v>
      </c>
      <c r="E127" s="33">
        <f>IF(OR(C127="",Parametry!$G$6=""),"",DATE(Parametry!$G$6,11,1))</f>
        <v>46692</v>
      </c>
      <c r="F127" s="34">
        <f>IF(C127="","",Plan!U18)</f>
        <v>0</v>
      </c>
      <c r="G127" s="34">
        <f>IF(C127="","",SUMIFS(ERP!$I$9:$I$1008,ERP!$L$9:$L$1008,C127,ERP!$N$9:$N$1008,1,ERP!$M$9:$M$1008,11))</f>
        <v>0</v>
      </c>
      <c r="H127" s="34">
        <f>IF(C127="","",IF(11&lt;=Parametry!$G$7,0,SUMIFS(Umowy!$N$9:$N$108,Umowy!$D$9:$D$108,C127,Umowy!$O$9:$O$108,11)))</f>
        <v>0</v>
      </c>
      <c r="I127" s="34">
        <f>IF(C127="","",IF(11&lt;=Parametry!$G$7,0,IF(COUNTIFS(Prognoza!$C$9:$C$38,C127)=1,IF(ISBLANK(INDEX(Prognoza!$K$9:$V$38,MATCH($C127,Prognoza!$C$9:$C$38,0),11)),"",IF(ISNUMBER(INDEX(Prognoza!$K$9:$V$38,MATCH($C127,Prognoza!$C$9:$C$38,0),11)),INDEX(Prognoza!$K$9:$V$38,MATCH($C127,Prognoza!$C$9:$C$38,0),11),"")),"")))</f>
        <v>0</v>
      </c>
      <c r="J127" s="35">
        <f>IF(C127="","",IF(Plan!F18="Run",IF(ISNUMBER(INDEX(Parametry!$H$18:$S$18,1,11)),INDEX(Parametry!$H$18:$S$18,1,11),""),IF(ISNUMBER(INDEX(Parametry!$H$24:$S$24,1,11)),INDEX(Parametry!$H$24:$S$24,1,11),"")))</f>
        <v>0</v>
      </c>
      <c r="K127" s="34">
        <f>IF(C127="","",IF(11&lt;=Parametry!$G$7,0,IF(AND(ISNUMBER(I127),ISNUMBER(J127),J127&gt;=-1),I127*(1+J127),"")))</f>
        <v>0</v>
      </c>
      <c r="L127" s="34">
        <f>IF(C127="","",IF(11&lt;=Parametry!$G$7,G127,IF(ISNUMBER(K127),H127+K127,"")))</f>
        <v>0</v>
      </c>
      <c r="M127" s="22">
        <f t="shared" si="2"/>
        <v>0</v>
      </c>
      <c r="N127" s="7">
        <f t="shared" si="3"/>
        <v>0</v>
      </c>
      <c r="O127" s="7"/>
      <c r="P127" s="7"/>
    </row>
    <row r="128" spans="1:16" ht="24" customHeight="1">
      <c r="A128" s="7"/>
      <c r="B128" s="7"/>
      <c r="C128" s="13" t="str">
        <f>IF(Plan!C18="","",Plan!C18)</f>
        <v>IT10</v>
      </c>
      <c r="D128" s="13" t="str">
        <f>IF(C128="","",Plan!D18)</f>
        <v>Prace wydajnościowe ERP</v>
      </c>
      <c r="E128" s="33">
        <f>IF(OR(C128="",Parametry!$G$6=""),"",DATE(Parametry!$G$6,12,1))</f>
        <v>46722</v>
      </c>
      <c r="F128" s="34">
        <f>IF(C128="","",Plan!V18)</f>
        <v>0</v>
      </c>
      <c r="G128" s="34">
        <f>IF(C128="","",SUMIFS(ERP!$I$9:$I$1008,ERP!$L$9:$L$1008,C128,ERP!$N$9:$N$1008,1,ERP!$M$9:$M$1008,12))</f>
        <v>0</v>
      </c>
      <c r="H128" s="34">
        <f>IF(C128="","",IF(12&lt;=Parametry!$G$7,0,SUMIFS(Umowy!$N$9:$N$108,Umowy!$D$9:$D$108,C128,Umowy!$O$9:$O$108,12)))</f>
        <v>0</v>
      </c>
      <c r="I128" s="34">
        <f>IF(C128="","",IF(12&lt;=Parametry!$G$7,0,IF(COUNTIFS(Prognoza!$C$9:$C$38,C128)=1,IF(ISBLANK(INDEX(Prognoza!$K$9:$V$38,MATCH($C128,Prognoza!$C$9:$C$38,0),12)),"",IF(ISNUMBER(INDEX(Prognoza!$K$9:$V$38,MATCH($C128,Prognoza!$C$9:$C$38,0),12)),INDEX(Prognoza!$K$9:$V$38,MATCH($C128,Prognoza!$C$9:$C$38,0),12),"")),"")))</f>
        <v>0</v>
      </c>
      <c r="J128" s="35">
        <f>IF(C128="","",IF(Plan!F18="Run",IF(ISNUMBER(INDEX(Parametry!$H$18:$S$18,1,12)),INDEX(Parametry!$H$18:$S$18,1,12),""),IF(ISNUMBER(INDEX(Parametry!$H$24:$S$24,1,12)),INDEX(Parametry!$H$24:$S$24,1,12),"")))</f>
        <v>0</v>
      </c>
      <c r="K128" s="34">
        <f>IF(C128="","",IF(12&lt;=Parametry!$G$7,0,IF(AND(ISNUMBER(I128),ISNUMBER(J128),J128&gt;=-1),I128*(1+J128),"")))</f>
        <v>0</v>
      </c>
      <c r="L128" s="34">
        <f>IF(C128="","",IF(12&lt;=Parametry!$G$7,G128,IF(ISNUMBER(K128),H128+K128,"")))</f>
        <v>0</v>
      </c>
      <c r="M128" s="22">
        <f t="shared" si="2"/>
        <v>0</v>
      </c>
      <c r="N128" s="7">
        <f t="shared" si="3"/>
        <v>0</v>
      </c>
      <c r="O128" s="7"/>
      <c r="P128" s="7"/>
    </row>
    <row r="129" spans="1:16" ht="24" customHeight="1">
      <c r="A129" s="7"/>
      <c r="B129" s="7"/>
      <c r="C129" s="13" t="str">
        <f>IF(Plan!C19="","",Plan!C19)</f>
        <v>IT11</v>
      </c>
      <c r="D129" s="13" t="str">
        <f>IF(C129="","",Plan!D19)</f>
        <v>Rozwój kompetencji</v>
      </c>
      <c r="E129" s="33">
        <f>IF(OR(C129="",Parametry!$G$6=""),"",DATE(Parametry!$G$6,1,1))</f>
        <v>46388</v>
      </c>
      <c r="F129" s="34">
        <f>IF(C129="","",Plan!K19)</f>
        <v>0</v>
      </c>
      <c r="G129" s="34">
        <f>IF(C129="","",SUMIFS(ERP!$I$9:$I$1008,ERP!$L$9:$L$1008,C129,ERP!$N$9:$N$1008,1,ERP!$M$9:$M$1008,1))</f>
        <v>0</v>
      </c>
      <c r="H129" s="34">
        <f>IF(C129="","",IF(1&lt;=Parametry!$G$7,0,SUMIFS(Umowy!$N$9:$N$108,Umowy!$D$9:$D$108,C129,Umowy!$O$9:$O$108,1)))</f>
        <v>0</v>
      </c>
      <c r="I129" s="34">
        <f>IF(C129="","",IF(1&lt;=Parametry!$G$7,0,IF(COUNTIFS(Prognoza!$C$9:$C$38,C129)=1,IF(ISBLANK(INDEX(Prognoza!$K$9:$V$38,MATCH($C129,Prognoza!$C$9:$C$38,0),1)),"",IF(ISNUMBER(INDEX(Prognoza!$K$9:$V$38,MATCH($C129,Prognoza!$C$9:$C$38,0),1)),INDEX(Prognoza!$K$9:$V$38,MATCH($C129,Prognoza!$C$9:$C$38,0),1),"")),"")))</f>
        <v>0</v>
      </c>
      <c r="J129" s="35">
        <f>IF(C129="","",IF(Plan!F19="Run",IF(ISNUMBER(INDEX(Parametry!$H$18:$S$18,1,1)),INDEX(Parametry!$H$18:$S$18,1,1),""),IF(ISNUMBER(INDEX(Parametry!$H$24:$S$24,1,1)),INDEX(Parametry!$H$24:$S$24,1,1),"")))</f>
        <v>0</v>
      </c>
      <c r="K129" s="34">
        <f>IF(C129="","",IF(1&lt;=Parametry!$G$7,0,IF(AND(ISNUMBER(I129),ISNUMBER(J129),J129&gt;=-1),I129*(1+J129),"")))</f>
        <v>0</v>
      </c>
      <c r="L129" s="34">
        <f>IF(C129="","",IF(1&lt;=Parametry!$G$7,G129,IF(ISNUMBER(K129),H129+K129,"")))</f>
        <v>0</v>
      </c>
      <c r="M129" s="22">
        <f t="shared" si="2"/>
        <v>0</v>
      </c>
      <c r="N129" s="7">
        <f t="shared" si="3"/>
        <v>0</v>
      </c>
      <c r="O129" s="7"/>
      <c r="P129" s="7"/>
    </row>
    <row r="130" spans="1:16" ht="24" customHeight="1">
      <c r="A130" s="7"/>
      <c r="B130" s="7"/>
      <c r="C130" s="13" t="str">
        <f>IF(Plan!C19="","",Plan!C19)</f>
        <v>IT11</v>
      </c>
      <c r="D130" s="13" t="str">
        <f>IF(C130="","",Plan!D19)</f>
        <v>Rozwój kompetencji</v>
      </c>
      <c r="E130" s="33">
        <f>IF(OR(C130="",Parametry!$G$6=""),"",DATE(Parametry!$G$6,2,1))</f>
        <v>46419</v>
      </c>
      <c r="F130" s="34">
        <f>IF(C130="","",Plan!L19)</f>
        <v>0</v>
      </c>
      <c r="G130" s="34">
        <f>IF(C130="","",SUMIFS(ERP!$I$9:$I$1008,ERP!$L$9:$L$1008,C130,ERP!$N$9:$N$1008,1,ERP!$M$9:$M$1008,2))</f>
        <v>0</v>
      </c>
      <c r="H130" s="34">
        <f>IF(C130="","",IF(2&lt;=Parametry!$G$7,0,SUMIFS(Umowy!$N$9:$N$108,Umowy!$D$9:$D$108,C130,Umowy!$O$9:$O$108,2)))</f>
        <v>0</v>
      </c>
      <c r="I130" s="34">
        <f>IF(C130="","",IF(2&lt;=Parametry!$G$7,0,IF(COUNTIFS(Prognoza!$C$9:$C$38,C130)=1,IF(ISBLANK(INDEX(Prognoza!$K$9:$V$38,MATCH($C130,Prognoza!$C$9:$C$38,0),2)),"",IF(ISNUMBER(INDEX(Prognoza!$K$9:$V$38,MATCH($C130,Prognoza!$C$9:$C$38,0),2)),INDEX(Prognoza!$K$9:$V$38,MATCH($C130,Prognoza!$C$9:$C$38,0),2),"")),"")))</f>
        <v>0</v>
      </c>
      <c r="J130" s="35">
        <f>IF(C130="","",IF(Plan!F19="Run",IF(ISNUMBER(INDEX(Parametry!$H$18:$S$18,1,2)),INDEX(Parametry!$H$18:$S$18,1,2),""),IF(ISNUMBER(INDEX(Parametry!$H$24:$S$24,1,2)),INDEX(Parametry!$H$24:$S$24,1,2),"")))</f>
        <v>0</v>
      </c>
      <c r="K130" s="34">
        <f>IF(C130="","",IF(2&lt;=Parametry!$G$7,0,IF(AND(ISNUMBER(I130),ISNUMBER(J130),J130&gt;=-1),I130*(1+J130),"")))</f>
        <v>0</v>
      </c>
      <c r="L130" s="34">
        <f>IF(C130="","",IF(2&lt;=Parametry!$G$7,G130,IF(ISNUMBER(K130),H130+K130,"")))</f>
        <v>0</v>
      </c>
      <c r="M130" s="22">
        <f t="shared" si="2"/>
        <v>0</v>
      </c>
      <c r="N130" s="7">
        <f t="shared" si="3"/>
        <v>0</v>
      </c>
      <c r="O130" s="7"/>
      <c r="P130" s="7"/>
    </row>
    <row r="131" spans="1:16" ht="24" customHeight="1">
      <c r="A131" s="7"/>
      <c r="B131" s="7"/>
      <c r="C131" s="13" t="str">
        <f>IF(Plan!C19="","",Plan!C19)</f>
        <v>IT11</v>
      </c>
      <c r="D131" s="13" t="str">
        <f>IF(C131="","",Plan!D19)</f>
        <v>Rozwój kompetencji</v>
      </c>
      <c r="E131" s="33">
        <f>IF(OR(C131="",Parametry!$G$6=""),"",DATE(Parametry!$G$6,3,1))</f>
        <v>46447</v>
      </c>
      <c r="F131" s="34">
        <f>IF(C131="","",Plan!M19)</f>
        <v>0</v>
      </c>
      <c r="G131" s="34">
        <f>IF(C131="","",SUMIFS(ERP!$I$9:$I$1008,ERP!$L$9:$L$1008,C131,ERP!$N$9:$N$1008,1,ERP!$M$9:$M$1008,3))</f>
        <v>0</v>
      </c>
      <c r="H131" s="34">
        <f>IF(C131="","",IF(3&lt;=Parametry!$G$7,0,SUMIFS(Umowy!$N$9:$N$108,Umowy!$D$9:$D$108,C131,Umowy!$O$9:$O$108,3)))</f>
        <v>0</v>
      </c>
      <c r="I131" s="34">
        <f>IF(C131="","",IF(3&lt;=Parametry!$G$7,0,IF(COUNTIFS(Prognoza!$C$9:$C$38,C131)=1,IF(ISBLANK(INDEX(Prognoza!$K$9:$V$38,MATCH($C131,Prognoza!$C$9:$C$38,0),3)),"",IF(ISNUMBER(INDEX(Prognoza!$K$9:$V$38,MATCH($C131,Prognoza!$C$9:$C$38,0),3)),INDEX(Prognoza!$K$9:$V$38,MATCH($C131,Prognoza!$C$9:$C$38,0),3),"")),"")))</f>
        <v>0</v>
      </c>
      <c r="J131" s="35">
        <f>IF(C131="","",IF(Plan!F19="Run",IF(ISNUMBER(INDEX(Parametry!$H$18:$S$18,1,3)),INDEX(Parametry!$H$18:$S$18,1,3),""),IF(ISNUMBER(INDEX(Parametry!$H$24:$S$24,1,3)),INDEX(Parametry!$H$24:$S$24,1,3),"")))</f>
        <v>0</v>
      </c>
      <c r="K131" s="34">
        <f>IF(C131="","",IF(3&lt;=Parametry!$G$7,0,IF(AND(ISNUMBER(I131),ISNUMBER(J131),J131&gt;=-1),I131*(1+J131),"")))</f>
        <v>0</v>
      </c>
      <c r="L131" s="34">
        <f>IF(C131="","",IF(3&lt;=Parametry!$G$7,G131,IF(ISNUMBER(K131),H131+K131,"")))</f>
        <v>0</v>
      </c>
      <c r="M131" s="22">
        <f t="shared" si="2"/>
        <v>0</v>
      </c>
      <c r="N131" s="7">
        <f t="shared" si="3"/>
        <v>0</v>
      </c>
      <c r="O131" s="7"/>
      <c r="P131" s="7"/>
    </row>
    <row r="132" spans="1:16" ht="24" customHeight="1">
      <c r="A132" s="7"/>
      <c r="B132" s="7"/>
      <c r="C132" s="13" t="str">
        <f>IF(Plan!C19="","",Plan!C19)</f>
        <v>IT11</v>
      </c>
      <c r="D132" s="13" t="str">
        <f>IF(C132="","",Plan!D19)</f>
        <v>Rozwój kompetencji</v>
      </c>
      <c r="E132" s="33">
        <f>IF(OR(C132="",Parametry!$G$6=""),"",DATE(Parametry!$G$6,4,1))</f>
        <v>46478</v>
      </c>
      <c r="F132" s="34">
        <f>IF(C132="","",Plan!N19)</f>
        <v>0</v>
      </c>
      <c r="G132" s="34">
        <f>IF(C132="","",SUMIFS(ERP!$I$9:$I$1008,ERP!$L$9:$L$1008,C132,ERP!$N$9:$N$1008,1,ERP!$M$9:$M$1008,4))</f>
        <v>0</v>
      </c>
      <c r="H132" s="34">
        <f>IF(C132="","",IF(4&lt;=Parametry!$G$7,0,SUMIFS(Umowy!$N$9:$N$108,Umowy!$D$9:$D$108,C132,Umowy!$O$9:$O$108,4)))</f>
        <v>0</v>
      </c>
      <c r="I132" s="34">
        <f>IF(C132="","",IF(4&lt;=Parametry!$G$7,0,IF(COUNTIFS(Prognoza!$C$9:$C$38,C132)=1,IF(ISBLANK(INDEX(Prognoza!$K$9:$V$38,MATCH($C132,Prognoza!$C$9:$C$38,0),4)),"",IF(ISNUMBER(INDEX(Prognoza!$K$9:$V$38,MATCH($C132,Prognoza!$C$9:$C$38,0),4)),INDEX(Prognoza!$K$9:$V$38,MATCH($C132,Prognoza!$C$9:$C$38,0),4),"")),"")))</f>
        <v>0</v>
      </c>
      <c r="J132" s="35">
        <f>IF(C132="","",IF(Plan!F19="Run",IF(ISNUMBER(INDEX(Parametry!$H$18:$S$18,1,4)),INDEX(Parametry!$H$18:$S$18,1,4),""),IF(ISNUMBER(INDEX(Parametry!$H$24:$S$24,1,4)),INDEX(Parametry!$H$24:$S$24,1,4),"")))</f>
        <v>0</v>
      </c>
      <c r="K132" s="34">
        <f>IF(C132="","",IF(4&lt;=Parametry!$G$7,0,IF(AND(ISNUMBER(I132),ISNUMBER(J132),J132&gt;=-1),I132*(1+J132),"")))</f>
        <v>0</v>
      </c>
      <c r="L132" s="34">
        <f>IF(C132="","",IF(4&lt;=Parametry!$G$7,G132,IF(ISNUMBER(K132),H132+K132,"")))</f>
        <v>0</v>
      </c>
      <c r="M132" s="22">
        <f t="shared" si="2"/>
        <v>0</v>
      </c>
      <c r="N132" s="7">
        <f t="shared" si="3"/>
        <v>0</v>
      </c>
      <c r="O132" s="7"/>
      <c r="P132" s="7"/>
    </row>
    <row r="133" spans="1:16" ht="24" customHeight="1">
      <c r="A133" s="7"/>
      <c r="B133" s="7"/>
      <c r="C133" s="13" t="str">
        <f>IF(Plan!C19="","",Plan!C19)</f>
        <v>IT11</v>
      </c>
      <c r="D133" s="13" t="str">
        <f>IF(C133="","",Plan!D19)</f>
        <v>Rozwój kompetencji</v>
      </c>
      <c r="E133" s="33">
        <f>IF(OR(C133="",Parametry!$G$6=""),"",DATE(Parametry!$G$6,5,1))</f>
        <v>46508</v>
      </c>
      <c r="F133" s="34">
        <f>IF(C133="","",Plan!O19)</f>
        <v>0</v>
      </c>
      <c r="G133" s="34">
        <f>IF(C133="","",SUMIFS(ERP!$I$9:$I$1008,ERP!$L$9:$L$1008,C133,ERP!$N$9:$N$1008,1,ERP!$M$9:$M$1008,5))</f>
        <v>0</v>
      </c>
      <c r="H133" s="34">
        <f>IF(C133="","",IF(5&lt;=Parametry!$G$7,0,SUMIFS(Umowy!$N$9:$N$108,Umowy!$D$9:$D$108,C133,Umowy!$O$9:$O$108,5)))</f>
        <v>0</v>
      </c>
      <c r="I133" s="34">
        <f>IF(C133="","",IF(5&lt;=Parametry!$G$7,0,IF(COUNTIFS(Prognoza!$C$9:$C$38,C133)=1,IF(ISBLANK(INDEX(Prognoza!$K$9:$V$38,MATCH($C133,Prognoza!$C$9:$C$38,0),5)),"",IF(ISNUMBER(INDEX(Prognoza!$K$9:$V$38,MATCH($C133,Prognoza!$C$9:$C$38,0),5)),INDEX(Prognoza!$K$9:$V$38,MATCH($C133,Prognoza!$C$9:$C$38,0),5),"")),"")))</f>
        <v>0</v>
      </c>
      <c r="J133" s="35">
        <f>IF(C133="","",IF(Plan!F19="Run",IF(ISNUMBER(INDEX(Parametry!$H$18:$S$18,1,5)),INDEX(Parametry!$H$18:$S$18,1,5),""),IF(ISNUMBER(INDEX(Parametry!$H$24:$S$24,1,5)),INDEX(Parametry!$H$24:$S$24,1,5),"")))</f>
        <v>0</v>
      </c>
      <c r="K133" s="34">
        <f>IF(C133="","",IF(5&lt;=Parametry!$G$7,0,IF(AND(ISNUMBER(I133),ISNUMBER(J133),J133&gt;=-1),I133*(1+J133),"")))</f>
        <v>0</v>
      </c>
      <c r="L133" s="34">
        <f>IF(C133="","",IF(5&lt;=Parametry!$G$7,G133,IF(ISNUMBER(K133),H133+K133,"")))</f>
        <v>0</v>
      </c>
      <c r="M133" s="22">
        <f t="shared" si="2"/>
        <v>0</v>
      </c>
      <c r="N133" s="7">
        <f t="shared" si="3"/>
        <v>0</v>
      </c>
      <c r="O133" s="7"/>
      <c r="P133" s="7"/>
    </row>
    <row r="134" spans="1:16" ht="24" customHeight="1">
      <c r="A134" s="7"/>
      <c r="B134" s="7"/>
      <c r="C134" s="13" t="str">
        <f>IF(Plan!C19="","",Plan!C19)</f>
        <v>IT11</v>
      </c>
      <c r="D134" s="13" t="str">
        <f>IF(C134="","",Plan!D19)</f>
        <v>Rozwój kompetencji</v>
      </c>
      <c r="E134" s="33">
        <f>IF(OR(C134="",Parametry!$G$6=""),"",DATE(Parametry!$G$6,6,1))</f>
        <v>46539</v>
      </c>
      <c r="F134" s="34">
        <f>IF(C134="","",Plan!P19)</f>
        <v>0</v>
      </c>
      <c r="G134" s="34">
        <f>IF(C134="","",SUMIFS(ERP!$I$9:$I$1008,ERP!$L$9:$L$1008,C134,ERP!$N$9:$N$1008,1,ERP!$M$9:$M$1008,6))</f>
        <v>0</v>
      </c>
      <c r="H134" s="34">
        <f>IF(C134="","",IF(6&lt;=Parametry!$G$7,0,SUMIFS(Umowy!$N$9:$N$108,Umowy!$D$9:$D$108,C134,Umowy!$O$9:$O$108,6)))</f>
        <v>0</v>
      </c>
      <c r="I134" s="34">
        <f>IF(C134="","",IF(6&lt;=Parametry!$G$7,0,IF(COUNTIFS(Prognoza!$C$9:$C$38,C134)=1,IF(ISBLANK(INDEX(Prognoza!$K$9:$V$38,MATCH($C134,Prognoza!$C$9:$C$38,0),6)),"",IF(ISNUMBER(INDEX(Prognoza!$K$9:$V$38,MATCH($C134,Prognoza!$C$9:$C$38,0),6)),INDEX(Prognoza!$K$9:$V$38,MATCH($C134,Prognoza!$C$9:$C$38,0),6),"")),"")))</f>
        <v>0</v>
      </c>
      <c r="J134" s="35">
        <f>IF(C134="","",IF(Plan!F19="Run",IF(ISNUMBER(INDEX(Parametry!$H$18:$S$18,1,6)),INDEX(Parametry!$H$18:$S$18,1,6),""),IF(ISNUMBER(INDEX(Parametry!$H$24:$S$24,1,6)),INDEX(Parametry!$H$24:$S$24,1,6),"")))</f>
        <v>0</v>
      </c>
      <c r="K134" s="34">
        <f>IF(C134="","",IF(6&lt;=Parametry!$G$7,0,IF(AND(ISNUMBER(I134),ISNUMBER(J134),J134&gt;=-1),I134*(1+J134),"")))</f>
        <v>0</v>
      </c>
      <c r="L134" s="34">
        <f>IF(C134="","",IF(6&lt;=Parametry!$G$7,G134,IF(ISNUMBER(K134),H134+K134,"")))</f>
        <v>0</v>
      </c>
      <c r="M134" s="22">
        <f t="shared" si="2"/>
        <v>0</v>
      </c>
      <c r="N134" s="7">
        <f t="shared" si="3"/>
        <v>0</v>
      </c>
      <c r="O134" s="7"/>
      <c r="P134" s="7"/>
    </row>
    <row r="135" spans="1:16" ht="24" customHeight="1">
      <c r="A135" s="7"/>
      <c r="B135" s="7"/>
      <c r="C135" s="13" t="str">
        <f>IF(Plan!C19="","",Plan!C19)</f>
        <v>IT11</v>
      </c>
      <c r="D135" s="13" t="str">
        <f>IF(C135="","",Plan!D19)</f>
        <v>Rozwój kompetencji</v>
      </c>
      <c r="E135" s="33">
        <f>IF(OR(C135="",Parametry!$G$6=""),"",DATE(Parametry!$G$6,7,1))</f>
        <v>46569</v>
      </c>
      <c r="F135" s="34">
        <f>IF(C135="","",Plan!Q19)</f>
        <v>0</v>
      </c>
      <c r="G135" s="34">
        <f>IF(C135="","",SUMIFS(ERP!$I$9:$I$1008,ERP!$L$9:$L$1008,C135,ERP!$N$9:$N$1008,1,ERP!$M$9:$M$1008,7))</f>
        <v>0</v>
      </c>
      <c r="H135" s="34">
        <f>IF(C135="","",IF(7&lt;=Parametry!$G$7,0,SUMIFS(Umowy!$N$9:$N$108,Umowy!$D$9:$D$108,C135,Umowy!$O$9:$O$108,7)))</f>
        <v>0</v>
      </c>
      <c r="I135" s="34">
        <f>IF(C135="","",IF(7&lt;=Parametry!$G$7,0,IF(COUNTIFS(Prognoza!$C$9:$C$38,C135)=1,IF(ISBLANK(INDEX(Prognoza!$K$9:$V$38,MATCH($C135,Prognoza!$C$9:$C$38,0),7)),"",IF(ISNUMBER(INDEX(Prognoza!$K$9:$V$38,MATCH($C135,Prognoza!$C$9:$C$38,0),7)),INDEX(Prognoza!$K$9:$V$38,MATCH($C135,Prognoza!$C$9:$C$38,0),7),"")),"")))</f>
        <v>0</v>
      </c>
      <c r="J135" s="35">
        <f>IF(C135="","",IF(Plan!F19="Run",IF(ISNUMBER(INDEX(Parametry!$H$18:$S$18,1,7)),INDEX(Parametry!$H$18:$S$18,1,7),""),IF(ISNUMBER(INDEX(Parametry!$H$24:$S$24,1,7)),INDEX(Parametry!$H$24:$S$24,1,7),"")))</f>
        <v>0</v>
      </c>
      <c r="K135" s="34">
        <f>IF(C135="","",IF(7&lt;=Parametry!$G$7,0,IF(AND(ISNUMBER(I135),ISNUMBER(J135),J135&gt;=-1),I135*(1+J135),"")))</f>
        <v>0</v>
      </c>
      <c r="L135" s="34">
        <f>IF(C135="","",IF(7&lt;=Parametry!$G$7,G135,IF(ISNUMBER(K135),H135+K135,"")))</f>
        <v>0</v>
      </c>
      <c r="M135" s="22">
        <f t="shared" si="2"/>
        <v>0</v>
      </c>
      <c r="N135" s="7">
        <f t="shared" si="3"/>
        <v>0</v>
      </c>
      <c r="O135" s="7"/>
      <c r="P135" s="7"/>
    </row>
    <row r="136" spans="1:16" ht="24" customHeight="1">
      <c r="A136" s="7"/>
      <c r="B136" s="7"/>
      <c r="C136" s="13" t="str">
        <f>IF(Plan!C19="","",Plan!C19)</f>
        <v>IT11</v>
      </c>
      <c r="D136" s="13" t="str">
        <f>IF(C136="","",Plan!D19)</f>
        <v>Rozwój kompetencji</v>
      </c>
      <c r="E136" s="33">
        <f>IF(OR(C136="",Parametry!$G$6=""),"",DATE(Parametry!$G$6,8,1))</f>
        <v>46600</v>
      </c>
      <c r="F136" s="34">
        <f>IF(C136="","",Plan!R19)</f>
        <v>0</v>
      </c>
      <c r="G136" s="34">
        <f>IF(C136="","",SUMIFS(ERP!$I$9:$I$1008,ERP!$L$9:$L$1008,C136,ERP!$N$9:$N$1008,1,ERP!$M$9:$M$1008,8))</f>
        <v>0</v>
      </c>
      <c r="H136" s="34">
        <f>IF(C136="","",IF(8&lt;=Parametry!$G$7,0,SUMIFS(Umowy!$N$9:$N$108,Umowy!$D$9:$D$108,C136,Umowy!$O$9:$O$108,8)))</f>
        <v>0</v>
      </c>
      <c r="I136" s="34">
        <f>IF(C136="","",IF(8&lt;=Parametry!$G$7,0,IF(COUNTIFS(Prognoza!$C$9:$C$38,C136)=1,IF(ISBLANK(INDEX(Prognoza!$K$9:$V$38,MATCH($C136,Prognoza!$C$9:$C$38,0),8)),"",IF(ISNUMBER(INDEX(Prognoza!$K$9:$V$38,MATCH($C136,Prognoza!$C$9:$C$38,0),8)),INDEX(Prognoza!$K$9:$V$38,MATCH($C136,Prognoza!$C$9:$C$38,0),8),"")),"")))</f>
        <v>0</v>
      </c>
      <c r="J136" s="35">
        <f>IF(C136="","",IF(Plan!F19="Run",IF(ISNUMBER(INDEX(Parametry!$H$18:$S$18,1,8)),INDEX(Parametry!$H$18:$S$18,1,8),""),IF(ISNUMBER(INDEX(Parametry!$H$24:$S$24,1,8)),INDEX(Parametry!$H$24:$S$24,1,8),"")))</f>
        <v>0</v>
      </c>
      <c r="K136" s="34">
        <f>IF(C136="","",IF(8&lt;=Parametry!$G$7,0,IF(AND(ISNUMBER(I136),ISNUMBER(J136),J136&gt;=-1),I136*(1+J136),"")))</f>
        <v>0</v>
      </c>
      <c r="L136" s="34">
        <f>IF(C136="","",IF(8&lt;=Parametry!$G$7,G136,IF(ISNUMBER(K136),H136+K136,"")))</f>
        <v>0</v>
      </c>
      <c r="M136" s="22">
        <f t="shared" si="2"/>
        <v>0</v>
      </c>
      <c r="N136" s="7">
        <f t="shared" si="3"/>
        <v>0</v>
      </c>
      <c r="O136" s="7"/>
      <c r="P136" s="7"/>
    </row>
    <row r="137" spans="1:16" ht="24" customHeight="1">
      <c r="A137" s="7"/>
      <c r="B137" s="7"/>
      <c r="C137" s="13" t="str">
        <f>IF(Plan!C19="","",Plan!C19)</f>
        <v>IT11</v>
      </c>
      <c r="D137" s="13" t="str">
        <f>IF(C137="","",Plan!D19)</f>
        <v>Rozwój kompetencji</v>
      </c>
      <c r="E137" s="33">
        <f>IF(OR(C137="",Parametry!$G$6=""),"",DATE(Parametry!$G$6,9,1))</f>
        <v>46631</v>
      </c>
      <c r="F137" s="34">
        <f>IF(C137="","",Plan!S19)</f>
        <v>0</v>
      </c>
      <c r="G137" s="34">
        <f>IF(C137="","",SUMIFS(ERP!$I$9:$I$1008,ERP!$L$9:$L$1008,C137,ERP!$N$9:$N$1008,1,ERP!$M$9:$M$1008,9))</f>
        <v>0</v>
      </c>
      <c r="H137" s="34">
        <f>IF(C137="","",IF(9&lt;=Parametry!$G$7,0,SUMIFS(Umowy!$N$9:$N$108,Umowy!$D$9:$D$108,C137,Umowy!$O$9:$O$108,9)))</f>
        <v>0</v>
      </c>
      <c r="I137" s="34">
        <f>IF(C137="","",IF(9&lt;=Parametry!$G$7,0,IF(COUNTIFS(Prognoza!$C$9:$C$38,C137)=1,IF(ISBLANK(INDEX(Prognoza!$K$9:$V$38,MATCH($C137,Prognoza!$C$9:$C$38,0),9)),"",IF(ISNUMBER(INDEX(Prognoza!$K$9:$V$38,MATCH($C137,Prognoza!$C$9:$C$38,0),9)),INDEX(Prognoza!$K$9:$V$38,MATCH($C137,Prognoza!$C$9:$C$38,0),9),"")),"")))</f>
        <v>0</v>
      </c>
      <c r="J137" s="35">
        <f>IF(C137="","",IF(Plan!F19="Run",IF(ISNUMBER(INDEX(Parametry!$H$18:$S$18,1,9)),INDEX(Parametry!$H$18:$S$18,1,9),""),IF(ISNUMBER(INDEX(Parametry!$H$24:$S$24,1,9)),INDEX(Parametry!$H$24:$S$24,1,9),"")))</f>
        <v>0</v>
      </c>
      <c r="K137" s="34">
        <f>IF(C137="","",IF(9&lt;=Parametry!$G$7,0,IF(AND(ISNUMBER(I137),ISNUMBER(J137),J137&gt;=-1),I137*(1+J137),"")))</f>
        <v>0</v>
      </c>
      <c r="L137" s="34">
        <f>IF(C137="","",IF(9&lt;=Parametry!$G$7,G137,IF(ISNUMBER(K137),H137+K137,"")))</f>
        <v>0</v>
      </c>
      <c r="M137" s="22">
        <f t="shared" ref="M137:M200" si="4">IF(AND(C137&lt;&gt;"",ISNUMBER(L137)),L137-F137,"")</f>
        <v>0</v>
      </c>
      <c r="N137" s="7">
        <f t="shared" ref="N137:N200" si="5">IF(C137="",0,IF(ISNUMBER(L137),0,1))</f>
        <v>0</v>
      </c>
      <c r="O137" s="7"/>
      <c r="P137" s="7"/>
    </row>
    <row r="138" spans="1:16" ht="24" customHeight="1">
      <c r="A138" s="7"/>
      <c r="B138" s="7"/>
      <c r="C138" s="13" t="str">
        <f>IF(Plan!C19="","",Plan!C19)</f>
        <v>IT11</v>
      </c>
      <c r="D138" s="13" t="str">
        <f>IF(C138="","",Plan!D19)</f>
        <v>Rozwój kompetencji</v>
      </c>
      <c r="E138" s="33">
        <f>IF(OR(C138="",Parametry!$G$6=""),"",DATE(Parametry!$G$6,10,1))</f>
        <v>46661</v>
      </c>
      <c r="F138" s="34">
        <f>IF(C138="","",Plan!T19)</f>
        <v>12000</v>
      </c>
      <c r="G138" s="34">
        <f>IF(C138="","",SUMIFS(ERP!$I$9:$I$1008,ERP!$L$9:$L$1008,C138,ERP!$N$9:$N$1008,1,ERP!$M$9:$M$1008,10))</f>
        <v>0</v>
      </c>
      <c r="H138" s="34">
        <f>IF(C138="","",IF(10&lt;=Parametry!$G$7,0,SUMIFS(Umowy!$N$9:$N$108,Umowy!$D$9:$D$108,C138,Umowy!$O$9:$O$108,10)))</f>
        <v>0</v>
      </c>
      <c r="I138" s="34">
        <f>IF(C138="","",IF(10&lt;=Parametry!$G$7,0,IF(COUNTIFS(Prognoza!$C$9:$C$38,C138)=1,IF(ISBLANK(INDEX(Prognoza!$K$9:$V$38,MATCH($C138,Prognoza!$C$9:$C$38,0),10)),"",IF(ISNUMBER(INDEX(Prognoza!$K$9:$V$38,MATCH($C138,Prognoza!$C$9:$C$38,0),10)),INDEX(Prognoza!$K$9:$V$38,MATCH($C138,Prognoza!$C$9:$C$38,0),10),"")),"")))</f>
        <v>12000</v>
      </c>
      <c r="J138" s="35">
        <f>IF(C138="","",IF(Plan!F19="Run",IF(ISNUMBER(INDEX(Parametry!$H$18:$S$18,1,10)),INDEX(Parametry!$H$18:$S$18,1,10),""),IF(ISNUMBER(INDEX(Parametry!$H$24:$S$24,1,10)),INDEX(Parametry!$H$24:$S$24,1,10),"")))</f>
        <v>0</v>
      </c>
      <c r="K138" s="34">
        <f>IF(C138="","",IF(10&lt;=Parametry!$G$7,0,IF(AND(ISNUMBER(I138),ISNUMBER(J138),J138&gt;=-1),I138*(1+J138),"")))</f>
        <v>12000</v>
      </c>
      <c r="L138" s="34">
        <f>IF(C138="","",IF(10&lt;=Parametry!$G$7,G138,IF(ISNUMBER(K138),H138+K138,"")))</f>
        <v>12000</v>
      </c>
      <c r="M138" s="22">
        <f t="shared" si="4"/>
        <v>0</v>
      </c>
      <c r="N138" s="7">
        <f t="shared" si="5"/>
        <v>0</v>
      </c>
      <c r="O138" s="7"/>
      <c r="P138" s="7"/>
    </row>
    <row r="139" spans="1:16" ht="24" customHeight="1">
      <c r="A139" s="7"/>
      <c r="B139" s="7"/>
      <c r="C139" s="13" t="str">
        <f>IF(Plan!C19="","",Plan!C19)</f>
        <v>IT11</v>
      </c>
      <c r="D139" s="13" t="str">
        <f>IF(C139="","",Plan!D19)</f>
        <v>Rozwój kompetencji</v>
      </c>
      <c r="E139" s="33">
        <f>IF(OR(C139="",Parametry!$G$6=""),"",DATE(Parametry!$G$6,11,1))</f>
        <v>46692</v>
      </c>
      <c r="F139" s="34">
        <f>IF(C139="","",Plan!U19)</f>
        <v>0</v>
      </c>
      <c r="G139" s="34">
        <f>IF(C139="","",SUMIFS(ERP!$I$9:$I$1008,ERP!$L$9:$L$1008,C139,ERP!$N$9:$N$1008,1,ERP!$M$9:$M$1008,11))</f>
        <v>0</v>
      </c>
      <c r="H139" s="34">
        <f>IF(C139="","",IF(11&lt;=Parametry!$G$7,0,SUMIFS(Umowy!$N$9:$N$108,Umowy!$D$9:$D$108,C139,Umowy!$O$9:$O$108,11)))</f>
        <v>0</v>
      </c>
      <c r="I139" s="34">
        <f>IF(C139="","",IF(11&lt;=Parametry!$G$7,0,IF(COUNTIFS(Prognoza!$C$9:$C$38,C139)=1,IF(ISBLANK(INDEX(Prognoza!$K$9:$V$38,MATCH($C139,Prognoza!$C$9:$C$38,0),11)),"",IF(ISNUMBER(INDEX(Prognoza!$K$9:$V$38,MATCH($C139,Prognoza!$C$9:$C$38,0),11)),INDEX(Prognoza!$K$9:$V$38,MATCH($C139,Prognoza!$C$9:$C$38,0),11),"")),"")))</f>
        <v>0</v>
      </c>
      <c r="J139" s="35">
        <f>IF(C139="","",IF(Plan!F19="Run",IF(ISNUMBER(INDEX(Parametry!$H$18:$S$18,1,11)),INDEX(Parametry!$H$18:$S$18,1,11),""),IF(ISNUMBER(INDEX(Parametry!$H$24:$S$24,1,11)),INDEX(Parametry!$H$24:$S$24,1,11),"")))</f>
        <v>0</v>
      </c>
      <c r="K139" s="34">
        <f>IF(C139="","",IF(11&lt;=Parametry!$G$7,0,IF(AND(ISNUMBER(I139),ISNUMBER(J139),J139&gt;=-1),I139*(1+J139),"")))</f>
        <v>0</v>
      </c>
      <c r="L139" s="34">
        <f>IF(C139="","",IF(11&lt;=Parametry!$G$7,G139,IF(ISNUMBER(K139),H139+K139,"")))</f>
        <v>0</v>
      </c>
      <c r="M139" s="22">
        <f t="shared" si="4"/>
        <v>0</v>
      </c>
      <c r="N139" s="7">
        <f t="shared" si="5"/>
        <v>0</v>
      </c>
      <c r="O139" s="7"/>
      <c r="P139" s="7"/>
    </row>
    <row r="140" spans="1:16" ht="24" customHeight="1">
      <c r="A140" s="7"/>
      <c r="B140" s="7"/>
      <c r="C140" s="13" t="str">
        <f>IF(Plan!C19="","",Plan!C19)</f>
        <v>IT11</v>
      </c>
      <c r="D140" s="13" t="str">
        <f>IF(C140="","",Plan!D19)</f>
        <v>Rozwój kompetencji</v>
      </c>
      <c r="E140" s="33">
        <f>IF(OR(C140="",Parametry!$G$6=""),"",DATE(Parametry!$G$6,12,1))</f>
        <v>46722</v>
      </c>
      <c r="F140" s="34">
        <f>IF(C140="","",Plan!V19)</f>
        <v>0</v>
      </c>
      <c r="G140" s="34">
        <f>IF(C140="","",SUMIFS(ERP!$I$9:$I$1008,ERP!$L$9:$L$1008,C140,ERP!$N$9:$N$1008,1,ERP!$M$9:$M$1008,12))</f>
        <v>0</v>
      </c>
      <c r="H140" s="34">
        <f>IF(C140="","",IF(12&lt;=Parametry!$G$7,0,SUMIFS(Umowy!$N$9:$N$108,Umowy!$D$9:$D$108,C140,Umowy!$O$9:$O$108,12)))</f>
        <v>0</v>
      </c>
      <c r="I140" s="34">
        <f>IF(C140="","",IF(12&lt;=Parametry!$G$7,0,IF(COUNTIFS(Prognoza!$C$9:$C$38,C140)=1,IF(ISBLANK(INDEX(Prognoza!$K$9:$V$38,MATCH($C140,Prognoza!$C$9:$C$38,0),12)),"",IF(ISNUMBER(INDEX(Prognoza!$K$9:$V$38,MATCH($C140,Prognoza!$C$9:$C$38,0),12)),INDEX(Prognoza!$K$9:$V$38,MATCH($C140,Prognoza!$C$9:$C$38,0),12),"")),"")))</f>
        <v>0</v>
      </c>
      <c r="J140" s="35">
        <f>IF(C140="","",IF(Plan!F19="Run",IF(ISNUMBER(INDEX(Parametry!$H$18:$S$18,1,12)),INDEX(Parametry!$H$18:$S$18,1,12),""),IF(ISNUMBER(INDEX(Parametry!$H$24:$S$24,1,12)),INDEX(Parametry!$H$24:$S$24,1,12),"")))</f>
        <v>0</v>
      </c>
      <c r="K140" s="34">
        <f>IF(C140="","",IF(12&lt;=Parametry!$G$7,0,IF(AND(ISNUMBER(I140),ISNUMBER(J140),J140&gt;=-1),I140*(1+J140),"")))</f>
        <v>0</v>
      </c>
      <c r="L140" s="34">
        <f>IF(C140="","",IF(12&lt;=Parametry!$G$7,G140,IF(ISNUMBER(K140),H140+K140,"")))</f>
        <v>0</v>
      </c>
      <c r="M140" s="22">
        <f t="shared" si="4"/>
        <v>0</v>
      </c>
      <c r="N140" s="7">
        <f t="shared" si="5"/>
        <v>0</v>
      </c>
      <c r="O140" s="7"/>
      <c r="P140" s="7"/>
    </row>
    <row r="141" spans="1:16" ht="24" customHeight="1">
      <c r="A141" s="7"/>
      <c r="B141" s="7"/>
      <c r="C141" s="13" t="str">
        <f>IF(Plan!C20="","",Plan!C20)</f>
        <v>IT12</v>
      </c>
      <c r="D141" s="13" t="str">
        <f>IF(C141="","",Plan!D20)</f>
        <v>Rezerwa zarządcza</v>
      </c>
      <c r="E141" s="33">
        <f>IF(OR(C141="",Parametry!$G$6=""),"",DATE(Parametry!$G$6,1,1))</f>
        <v>46388</v>
      </c>
      <c r="F141" s="34">
        <f>IF(C141="","",Plan!K20)</f>
        <v>0</v>
      </c>
      <c r="G141" s="34">
        <f>IF(C141="","",SUMIFS(ERP!$I$9:$I$1008,ERP!$L$9:$L$1008,C141,ERP!$N$9:$N$1008,1,ERP!$M$9:$M$1008,1))</f>
        <v>0</v>
      </c>
      <c r="H141" s="34">
        <f>IF(C141="","",IF(1&lt;=Parametry!$G$7,0,SUMIFS(Umowy!$N$9:$N$108,Umowy!$D$9:$D$108,C141,Umowy!$O$9:$O$108,1)))</f>
        <v>0</v>
      </c>
      <c r="I141" s="34">
        <f>IF(C141="","",IF(1&lt;=Parametry!$G$7,0,IF(COUNTIFS(Prognoza!$C$9:$C$38,C141)=1,IF(ISBLANK(INDEX(Prognoza!$K$9:$V$38,MATCH($C141,Prognoza!$C$9:$C$38,0),1)),"",IF(ISNUMBER(INDEX(Prognoza!$K$9:$V$38,MATCH($C141,Prognoza!$C$9:$C$38,0),1)),INDEX(Prognoza!$K$9:$V$38,MATCH($C141,Prognoza!$C$9:$C$38,0),1),"")),"")))</f>
        <v>0</v>
      </c>
      <c r="J141" s="35">
        <f>IF(C141="","",IF(Plan!F20="Run",IF(ISNUMBER(INDEX(Parametry!$H$18:$S$18,1,1)),INDEX(Parametry!$H$18:$S$18,1,1),""),IF(ISNUMBER(INDEX(Parametry!$H$24:$S$24,1,1)),INDEX(Parametry!$H$24:$S$24,1,1),"")))</f>
        <v>0</v>
      </c>
      <c r="K141" s="34">
        <f>IF(C141="","",IF(1&lt;=Parametry!$G$7,0,IF(AND(ISNUMBER(I141),ISNUMBER(J141),J141&gt;=-1),I141*(1+J141),"")))</f>
        <v>0</v>
      </c>
      <c r="L141" s="34">
        <f>IF(C141="","",IF(1&lt;=Parametry!$G$7,G141,IF(ISNUMBER(K141),H141+K141,"")))</f>
        <v>0</v>
      </c>
      <c r="M141" s="22">
        <f t="shared" si="4"/>
        <v>0</v>
      </c>
      <c r="N141" s="7">
        <f t="shared" si="5"/>
        <v>0</v>
      </c>
      <c r="O141" s="7"/>
      <c r="P141" s="7"/>
    </row>
    <row r="142" spans="1:16" ht="24" customHeight="1">
      <c r="A142" s="7"/>
      <c r="B142" s="7"/>
      <c r="C142" s="13" t="str">
        <f>IF(Plan!C20="","",Plan!C20)</f>
        <v>IT12</v>
      </c>
      <c r="D142" s="13" t="str">
        <f>IF(C142="","",Plan!D20)</f>
        <v>Rezerwa zarządcza</v>
      </c>
      <c r="E142" s="33">
        <f>IF(OR(C142="",Parametry!$G$6=""),"",DATE(Parametry!$G$6,2,1))</f>
        <v>46419</v>
      </c>
      <c r="F142" s="34">
        <f>IF(C142="","",Plan!L20)</f>
        <v>0</v>
      </c>
      <c r="G142" s="34">
        <f>IF(C142="","",SUMIFS(ERP!$I$9:$I$1008,ERP!$L$9:$L$1008,C142,ERP!$N$9:$N$1008,1,ERP!$M$9:$M$1008,2))</f>
        <v>0</v>
      </c>
      <c r="H142" s="34">
        <f>IF(C142="","",IF(2&lt;=Parametry!$G$7,0,SUMIFS(Umowy!$N$9:$N$108,Umowy!$D$9:$D$108,C142,Umowy!$O$9:$O$108,2)))</f>
        <v>0</v>
      </c>
      <c r="I142" s="34">
        <f>IF(C142="","",IF(2&lt;=Parametry!$G$7,0,IF(COUNTIFS(Prognoza!$C$9:$C$38,C142)=1,IF(ISBLANK(INDEX(Prognoza!$K$9:$V$38,MATCH($C142,Prognoza!$C$9:$C$38,0),2)),"",IF(ISNUMBER(INDEX(Prognoza!$K$9:$V$38,MATCH($C142,Prognoza!$C$9:$C$38,0),2)),INDEX(Prognoza!$K$9:$V$38,MATCH($C142,Prognoza!$C$9:$C$38,0),2),"")),"")))</f>
        <v>0</v>
      </c>
      <c r="J142" s="35">
        <f>IF(C142="","",IF(Plan!F20="Run",IF(ISNUMBER(INDEX(Parametry!$H$18:$S$18,1,2)),INDEX(Parametry!$H$18:$S$18,1,2),""),IF(ISNUMBER(INDEX(Parametry!$H$24:$S$24,1,2)),INDEX(Parametry!$H$24:$S$24,1,2),"")))</f>
        <v>0</v>
      </c>
      <c r="K142" s="34">
        <f>IF(C142="","",IF(2&lt;=Parametry!$G$7,0,IF(AND(ISNUMBER(I142),ISNUMBER(J142),J142&gt;=-1),I142*(1+J142),"")))</f>
        <v>0</v>
      </c>
      <c r="L142" s="34">
        <f>IF(C142="","",IF(2&lt;=Parametry!$G$7,G142,IF(ISNUMBER(K142),H142+K142,"")))</f>
        <v>0</v>
      </c>
      <c r="M142" s="22">
        <f t="shared" si="4"/>
        <v>0</v>
      </c>
      <c r="N142" s="7">
        <f t="shared" si="5"/>
        <v>0</v>
      </c>
      <c r="O142" s="7"/>
      <c r="P142" s="7"/>
    </row>
    <row r="143" spans="1:16" ht="24" customHeight="1">
      <c r="A143" s="7"/>
      <c r="B143" s="7"/>
      <c r="C143" s="13" t="str">
        <f>IF(Plan!C20="","",Plan!C20)</f>
        <v>IT12</v>
      </c>
      <c r="D143" s="13" t="str">
        <f>IF(C143="","",Plan!D20)</f>
        <v>Rezerwa zarządcza</v>
      </c>
      <c r="E143" s="33">
        <f>IF(OR(C143="",Parametry!$G$6=""),"",DATE(Parametry!$G$6,3,1))</f>
        <v>46447</v>
      </c>
      <c r="F143" s="34">
        <f>IF(C143="","",Plan!M20)</f>
        <v>0</v>
      </c>
      <c r="G143" s="34">
        <f>IF(C143="","",SUMIFS(ERP!$I$9:$I$1008,ERP!$L$9:$L$1008,C143,ERP!$N$9:$N$1008,1,ERP!$M$9:$M$1008,3))</f>
        <v>0</v>
      </c>
      <c r="H143" s="34">
        <f>IF(C143="","",IF(3&lt;=Parametry!$G$7,0,SUMIFS(Umowy!$N$9:$N$108,Umowy!$D$9:$D$108,C143,Umowy!$O$9:$O$108,3)))</f>
        <v>0</v>
      </c>
      <c r="I143" s="34">
        <f>IF(C143="","",IF(3&lt;=Parametry!$G$7,0,IF(COUNTIFS(Prognoza!$C$9:$C$38,C143)=1,IF(ISBLANK(INDEX(Prognoza!$K$9:$V$38,MATCH($C143,Prognoza!$C$9:$C$38,0),3)),"",IF(ISNUMBER(INDEX(Prognoza!$K$9:$V$38,MATCH($C143,Prognoza!$C$9:$C$38,0),3)),INDEX(Prognoza!$K$9:$V$38,MATCH($C143,Prognoza!$C$9:$C$38,0),3),"")),"")))</f>
        <v>0</v>
      </c>
      <c r="J143" s="35">
        <f>IF(C143="","",IF(Plan!F20="Run",IF(ISNUMBER(INDEX(Parametry!$H$18:$S$18,1,3)),INDEX(Parametry!$H$18:$S$18,1,3),""),IF(ISNUMBER(INDEX(Parametry!$H$24:$S$24,1,3)),INDEX(Parametry!$H$24:$S$24,1,3),"")))</f>
        <v>0</v>
      </c>
      <c r="K143" s="34">
        <f>IF(C143="","",IF(3&lt;=Parametry!$G$7,0,IF(AND(ISNUMBER(I143),ISNUMBER(J143),J143&gt;=-1),I143*(1+J143),"")))</f>
        <v>0</v>
      </c>
      <c r="L143" s="34">
        <f>IF(C143="","",IF(3&lt;=Parametry!$G$7,G143,IF(ISNUMBER(K143),H143+K143,"")))</f>
        <v>0</v>
      </c>
      <c r="M143" s="22">
        <f t="shared" si="4"/>
        <v>0</v>
      </c>
      <c r="N143" s="7">
        <f t="shared" si="5"/>
        <v>0</v>
      </c>
      <c r="O143" s="7"/>
      <c r="P143" s="7"/>
    </row>
    <row r="144" spans="1:16" ht="24" customHeight="1">
      <c r="A144" s="7"/>
      <c r="B144" s="7"/>
      <c r="C144" s="13" t="str">
        <f>IF(Plan!C20="","",Plan!C20)</f>
        <v>IT12</v>
      </c>
      <c r="D144" s="13" t="str">
        <f>IF(C144="","",Plan!D20)</f>
        <v>Rezerwa zarządcza</v>
      </c>
      <c r="E144" s="33">
        <f>IF(OR(C144="",Parametry!$G$6=""),"",DATE(Parametry!$G$6,4,1))</f>
        <v>46478</v>
      </c>
      <c r="F144" s="34">
        <f>IF(C144="","",Plan!N20)</f>
        <v>0</v>
      </c>
      <c r="G144" s="34">
        <f>IF(C144="","",SUMIFS(ERP!$I$9:$I$1008,ERP!$L$9:$L$1008,C144,ERP!$N$9:$N$1008,1,ERP!$M$9:$M$1008,4))</f>
        <v>0</v>
      </c>
      <c r="H144" s="34">
        <f>IF(C144="","",IF(4&lt;=Parametry!$G$7,0,SUMIFS(Umowy!$N$9:$N$108,Umowy!$D$9:$D$108,C144,Umowy!$O$9:$O$108,4)))</f>
        <v>0</v>
      </c>
      <c r="I144" s="34">
        <f>IF(C144="","",IF(4&lt;=Parametry!$G$7,0,IF(COUNTIFS(Prognoza!$C$9:$C$38,C144)=1,IF(ISBLANK(INDEX(Prognoza!$K$9:$V$38,MATCH($C144,Prognoza!$C$9:$C$38,0),4)),"",IF(ISNUMBER(INDEX(Prognoza!$K$9:$V$38,MATCH($C144,Prognoza!$C$9:$C$38,0),4)),INDEX(Prognoza!$K$9:$V$38,MATCH($C144,Prognoza!$C$9:$C$38,0),4),"")),"")))</f>
        <v>0</v>
      </c>
      <c r="J144" s="35">
        <f>IF(C144="","",IF(Plan!F20="Run",IF(ISNUMBER(INDEX(Parametry!$H$18:$S$18,1,4)),INDEX(Parametry!$H$18:$S$18,1,4),""),IF(ISNUMBER(INDEX(Parametry!$H$24:$S$24,1,4)),INDEX(Parametry!$H$24:$S$24,1,4),"")))</f>
        <v>0</v>
      </c>
      <c r="K144" s="34">
        <f>IF(C144="","",IF(4&lt;=Parametry!$G$7,0,IF(AND(ISNUMBER(I144),ISNUMBER(J144),J144&gt;=-1),I144*(1+J144),"")))</f>
        <v>0</v>
      </c>
      <c r="L144" s="34">
        <f>IF(C144="","",IF(4&lt;=Parametry!$G$7,G144,IF(ISNUMBER(K144),H144+K144,"")))</f>
        <v>0</v>
      </c>
      <c r="M144" s="22">
        <f t="shared" si="4"/>
        <v>0</v>
      </c>
      <c r="N144" s="7">
        <f t="shared" si="5"/>
        <v>0</v>
      </c>
      <c r="O144" s="7"/>
      <c r="P144" s="7"/>
    </row>
    <row r="145" spans="1:16" ht="24" customHeight="1">
      <c r="A145" s="7"/>
      <c r="B145" s="7"/>
      <c r="C145" s="13" t="str">
        <f>IF(Plan!C20="","",Plan!C20)</f>
        <v>IT12</v>
      </c>
      <c r="D145" s="13" t="str">
        <f>IF(C145="","",Plan!D20)</f>
        <v>Rezerwa zarządcza</v>
      </c>
      <c r="E145" s="33">
        <f>IF(OR(C145="",Parametry!$G$6=""),"",DATE(Parametry!$G$6,5,1))</f>
        <v>46508</v>
      </c>
      <c r="F145" s="34">
        <f>IF(C145="","",Plan!O20)</f>
        <v>0</v>
      </c>
      <c r="G145" s="34">
        <f>IF(C145="","",SUMIFS(ERP!$I$9:$I$1008,ERP!$L$9:$L$1008,C145,ERP!$N$9:$N$1008,1,ERP!$M$9:$M$1008,5))</f>
        <v>0</v>
      </c>
      <c r="H145" s="34">
        <f>IF(C145="","",IF(5&lt;=Parametry!$G$7,0,SUMIFS(Umowy!$N$9:$N$108,Umowy!$D$9:$D$108,C145,Umowy!$O$9:$O$108,5)))</f>
        <v>0</v>
      </c>
      <c r="I145" s="34">
        <f>IF(C145="","",IF(5&lt;=Parametry!$G$7,0,IF(COUNTIFS(Prognoza!$C$9:$C$38,C145)=1,IF(ISBLANK(INDEX(Prognoza!$K$9:$V$38,MATCH($C145,Prognoza!$C$9:$C$38,0),5)),"",IF(ISNUMBER(INDEX(Prognoza!$K$9:$V$38,MATCH($C145,Prognoza!$C$9:$C$38,0),5)),INDEX(Prognoza!$K$9:$V$38,MATCH($C145,Prognoza!$C$9:$C$38,0),5),"")),"")))</f>
        <v>0</v>
      </c>
      <c r="J145" s="35">
        <f>IF(C145="","",IF(Plan!F20="Run",IF(ISNUMBER(INDEX(Parametry!$H$18:$S$18,1,5)),INDEX(Parametry!$H$18:$S$18,1,5),""),IF(ISNUMBER(INDEX(Parametry!$H$24:$S$24,1,5)),INDEX(Parametry!$H$24:$S$24,1,5),"")))</f>
        <v>0</v>
      </c>
      <c r="K145" s="34">
        <f>IF(C145="","",IF(5&lt;=Parametry!$G$7,0,IF(AND(ISNUMBER(I145),ISNUMBER(J145),J145&gt;=-1),I145*(1+J145),"")))</f>
        <v>0</v>
      </c>
      <c r="L145" s="34">
        <f>IF(C145="","",IF(5&lt;=Parametry!$G$7,G145,IF(ISNUMBER(K145),H145+K145,"")))</f>
        <v>0</v>
      </c>
      <c r="M145" s="22">
        <f t="shared" si="4"/>
        <v>0</v>
      </c>
      <c r="N145" s="7">
        <f t="shared" si="5"/>
        <v>0</v>
      </c>
      <c r="O145" s="7"/>
      <c r="P145" s="7"/>
    </row>
    <row r="146" spans="1:16" ht="24" customHeight="1">
      <c r="A146" s="7"/>
      <c r="B146" s="7"/>
      <c r="C146" s="13" t="str">
        <f>IF(Plan!C20="","",Plan!C20)</f>
        <v>IT12</v>
      </c>
      <c r="D146" s="13" t="str">
        <f>IF(C146="","",Plan!D20)</f>
        <v>Rezerwa zarządcza</v>
      </c>
      <c r="E146" s="33">
        <f>IF(OR(C146="",Parametry!$G$6=""),"",DATE(Parametry!$G$6,6,1))</f>
        <v>46539</v>
      </c>
      <c r="F146" s="34">
        <f>IF(C146="","",Plan!P20)</f>
        <v>0</v>
      </c>
      <c r="G146" s="34">
        <f>IF(C146="","",SUMIFS(ERP!$I$9:$I$1008,ERP!$L$9:$L$1008,C146,ERP!$N$9:$N$1008,1,ERP!$M$9:$M$1008,6))</f>
        <v>0</v>
      </c>
      <c r="H146" s="34">
        <f>IF(C146="","",IF(6&lt;=Parametry!$G$7,0,SUMIFS(Umowy!$N$9:$N$108,Umowy!$D$9:$D$108,C146,Umowy!$O$9:$O$108,6)))</f>
        <v>0</v>
      </c>
      <c r="I146" s="34">
        <f>IF(C146="","",IF(6&lt;=Parametry!$G$7,0,IF(COUNTIFS(Prognoza!$C$9:$C$38,C146)=1,IF(ISBLANK(INDEX(Prognoza!$K$9:$V$38,MATCH($C146,Prognoza!$C$9:$C$38,0),6)),"",IF(ISNUMBER(INDEX(Prognoza!$K$9:$V$38,MATCH($C146,Prognoza!$C$9:$C$38,0),6)),INDEX(Prognoza!$K$9:$V$38,MATCH($C146,Prognoza!$C$9:$C$38,0),6),"")),"")))</f>
        <v>0</v>
      </c>
      <c r="J146" s="35">
        <f>IF(C146="","",IF(Plan!F20="Run",IF(ISNUMBER(INDEX(Parametry!$H$18:$S$18,1,6)),INDEX(Parametry!$H$18:$S$18,1,6),""),IF(ISNUMBER(INDEX(Parametry!$H$24:$S$24,1,6)),INDEX(Parametry!$H$24:$S$24,1,6),"")))</f>
        <v>0</v>
      </c>
      <c r="K146" s="34">
        <f>IF(C146="","",IF(6&lt;=Parametry!$G$7,0,IF(AND(ISNUMBER(I146),ISNUMBER(J146),J146&gt;=-1),I146*(1+J146),"")))</f>
        <v>0</v>
      </c>
      <c r="L146" s="34">
        <f>IF(C146="","",IF(6&lt;=Parametry!$G$7,G146,IF(ISNUMBER(K146),H146+K146,"")))</f>
        <v>0</v>
      </c>
      <c r="M146" s="22">
        <f t="shared" si="4"/>
        <v>0</v>
      </c>
      <c r="N146" s="7">
        <f t="shared" si="5"/>
        <v>0</v>
      </c>
      <c r="O146" s="7"/>
      <c r="P146" s="7"/>
    </row>
    <row r="147" spans="1:16" ht="24" customHeight="1">
      <c r="A147" s="7"/>
      <c r="B147" s="7"/>
      <c r="C147" s="13" t="str">
        <f>IF(Plan!C20="","",Plan!C20)</f>
        <v>IT12</v>
      </c>
      <c r="D147" s="13" t="str">
        <f>IF(C147="","",Plan!D20)</f>
        <v>Rezerwa zarządcza</v>
      </c>
      <c r="E147" s="33">
        <f>IF(OR(C147="",Parametry!$G$6=""),"",DATE(Parametry!$G$6,7,1))</f>
        <v>46569</v>
      </c>
      <c r="F147" s="34">
        <f>IF(C147="","",Plan!Q20)</f>
        <v>0</v>
      </c>
      <c r="G147" s="34">
        <f>IF(C147="","",SUMIFS(ERP!$I$9:$I$1008,ERP!$L$9:$L$1008,C147,ERP!$N$9:$N$1008,1,ERP!$M$9:$M$1008,7))</f>
        <v>0</v>
      </c>
      <c r="H147" s="34">
        <f>IF(C147="","",IF(7&lt;=Parametry!$G$7,0,SUMIFS(Umowy!$N$9:$N$108,Umowy!$D$9:$D$108,C147,Umowy!$O$9:$O$108,7)))</f>
        <v>0</v>
      </c>
      <c r="I147" s="34">
        <f>IF(C147="","",IF(7&lt;=Parametry!$G$7,0,IF(COUNTIFS(Prognoza!$C$9:$C$38,C147)=1,IF(ISBLANK(INDEX(Prognoza!$K$9:$V$38,MATCH($C147,Prognoza!$C$9:$C$38,0),7)),"",IF(ISNUMBER(INDEX(Prognoza!$K$9:$V$38,MATCH($C147,Prognoza!$C$9:$C$38,0),7)),INDEX(Prognoza!$K$9:$V$38,MATCH($C147,Prognoza!$C$9:$C$38,0),7),"")),"")))</f>
        <v>0</v>
      </c>
      <c r="J147" s="35">
        <f>IF(C147="","",IF(Plan!F20="Run",IF(ISNUMBER(INDEX(Parametry!$H$18:$S$18,1,7)),INDEX(Parametry!$H$18:$S$18,1,7),""),IF(ISNUMBER(INDEX(Parametry!$H$24:$S$24,1,7)),INDEX(Parametry!$H$24:$S$24,1,7),"")))</f>
        <v>0</v>
      </c>
      <c r="K147" s="34">
        <f>IF(C147="","",IF(7&lt;=Parametry!$G$7,0,IF(AND(ISNUMBER(I147),ISNUMBER(J147),J147&gt;=-1),I147*(1+J147),"")))</f>
        <v>0</v>
      </c>
      <c r="L147" s="34">
        <f>IF(C147="","",IF(7&lt;=Parametry!$G$7,G147,IF(ISNUMBER(K147),H147+K147,"")))</f>
        <v>0</v>
      </c>
      <c r="M147" s="22">
        <f t="shared" si="4"/>
        <v>0</v>
      </c>
      <c r="N147" s="7">
        <f t="shared" si="5"/>
        <v>0</v>
      </c>
      <c r="O147" s="7"/>
      <c r="P147" s="7"/>
    </row>
    <row r="148" spans="1:16" ht="24" customHeight="1">
      <c r="A148" s="7"/>
      <c r="B148" s="7"/>
      <c r="C148" s="13" t="str">
        <f>IF(Plan!C20="","",Plan!C20)</f>
        <v>IT12</v>
      </c>
      <c r="D148" s="13" t="str">
        <f>IF(C148="","",Plan!D20)</f>
        <v>Rezerwa zarządcza</v>
      </c>
      <c r="E148" s="33">
        <f>IF(OR(C148="",Parametry!$G$6=""),"",DATE(Parametry!$G$6,8,1))</f>
        <v>46600</v>
      </c>
      <c r="F148" s="34">
        <f>IF(C148="","",Plan!R20)</f>
        <v>0</v>
      </c>
      <c r="G148" s="34">
        <f>IF(C148="","",SUMIFS(ERP!$I$9:$I$1008,ERP!$L$9:$L$1008,C148,ERP!$N$9:$N$1008,1,ERP!$M$9:$M$1008,8))</f>
        <v>0</v>
      </c>
      <c r="H148" s="34">
        <f>IF(C148="","",IF(8&lt;=Parametry!$G$7,0,SUMIFS(Umowy!$N$9:$N$108,Umowy!$D$9:$D$108,C148,Umowy!$O$9:$O$108,8)))</f>
        <v>0</v>
      </c>
      <c r="I148" s="34">
        <f>IF(C148="","",IF(8&lt;=Parametry!$G$7,0,IF(COUNTIFS(Prognoza!$C$9:$C$38,C148)=1,IF(ISBLANK(INDEX(Prognoza!$K$9:$V$38,MATCH($C148,Prognoza!$C$9:$C$38,0),8)),"",IF(ISNUMBER(INDEX(Prognoza!$K$9:$V$38,MATCH($C148,Prognoza!$C$9:$C$38,0),8)),INDEX(Prognoza!$K$9:$V$38,MATCH($C148,Prognoza!$C$9:$C$38,0),8),"")),"")))</f>
        <v>0</v>
      </c>
      <c r="J148" s="35">
        <f>IF(C148="","",IF(Plan!F20="Run",IF(ISNUMBER(INDEX(Parametry!$H$18:$S$18,1,8)),INDEX(Parametry!$H$18:$S$18,1,8),""),IF(ISNUMBER(INDEX(Parametry!$H$24:$S$24,1,8)),INDEX(Parametry!$H$24:$S$24,1,8),"")))</f>
        <v>0</v>
      </c>
      <c r="K148" s="34">
        <f>IF(C148="","",IF(8&lt;=Parametry!$G$7,0,IF(AND(ISNUMBER(I148),ISNUMBER(J148),J148&gt;=-1),I148*(1+J148),"")))</f>
        <v>0</v>
      </c>
      <c r="L148" s="34">
        <f>IF(C148="","",IF(8&lt;=Parametry!$G$7,G148,IF(ISNUMBER(K148),H148+K148,"")))</f>
        <v>0</v>
      </c>
      <c r="M148" s="22">
        <f t="shared" si="4"/>
        <v>0</v>
      </c>
      <c r="N148" s="7">
        <f t="shared" si="5"/>
        <v>0</v>
      </c>
      <c r="O148" s="7"/>
      <c r="P148" s="7"/>
    </row>
    <row r="149" spans="1:16" ht="24" customHeight="1">
      <c r="A149" s="7"/>
      <c r="B149" s="7"/>
      <c r="C149" s="13" t="str">
        <f>IF(Plan!C20="","",Plan!C20)</f>
        <v>IT12</v>
      </c>
      <c r="D149" s="13" t="str">
        <f>IF(C149="","",Plan!D20)</f>
        <v>Rezerwa zarządcza</v>
      </c>
      <c r="E149" s="33">
        <f>IF(OR(C149="",Parametry!$G$6=""),"",DATE(Parametry!$G$6,9,1))</f>
        <v>46631</v>
      </c>
      <c r="F149" s="34">
        <f>IF(C149="","",Plan!S20)</f>
        <v>0</v>
      </c>
      <c r="G149" s="34">
        <f>IF(C149="","",SUMIFS(ERP!$I$9:$I$1008,ERP!$L$9:$L$1008,C149,ERP!$N$9:$N$1008,1,ERP!$M$9:$M$1008,9))</f>
        <v>0</v>
      </c>
      <c r="H149" s="34">
        <f>IF(C149="","",IF(9&lt;=Parametry!$G$7,0,SUMIFS(Umowy!$N$9:$N$108,Umowy!$D$9:$D$108,C149,Umowy!$O$9:$O$108,9)))</f>
        <v>0</v>
      </c>
      <c r="I149" s="34">
        <f>IF(C149="","",IF(9&lt;=Parametry!$G$7,0,IF(COUNTIFS(Prognoza!$C$9:$C$38,C149)=1,IF(ISBLANK(INDEX(Prognoza!$K$9:$V$38,MATCH($C149,Prognoza!$C$9:$C$38,0),9)),"",IF(ISNUMBER(INDEX(Prognoza!$K$9:$V$38,MATCH($C149,Prognoza!$C$9:$C$38,0),9)),INDEX(Prognoza!$K$9:$V$38,MATCH($C149,Prognoza!$C$9:$C$38,0),9),"")),"")))</f>
        <v>0</v>
      </c>
      <c r="J149" s="35">
        <f>IF(C149="","",IF(Plan!F20="Run",IF(ISNUMBER(INDEX(Parametry!$H$18:$S$18,1,9)),INDEX(Parametry!$H$18:$S$18,1,9),""),IF(ISNUMBER(INDEX(Parametry!$H$24:$S$24,1,9)),INDEX(Parametry!$H$24:$S$24,1,9),"")))</f>
        <v>0</v>
      </c>
      <c r="K149" s="34">
        <f>IF(C149="","",IF(9&lt;=Parametry!$G$7,0,IF(AND(ISNUMBER(I149),ISNUMBER(J149),J149&gt;=-1),I149*(1+J149),"")))</f>
        <v>0</v>
      </c>
      <c r="L149" s="34">
        <f>IF(C149="","",IF(9&lt;=Parametry!$G$7,G149,IF(ISNUMBER(K149),H149+K149,"")))</f>
        <v>0</v>
      </c>
      <c r="M149" s="22">
        <f t="shared" si="4"/>
        <v>0</v>
      </c>
      <c r="N149" s="7">
        <f t="shared" si="5"/>
        <v>0</v>
      </c>
      <c r="O149" s="7"/>
      <c r="P149" s="7"/>
    </row>
    <row r="150" spans="1:16" ht="24" customHeight="1">
      <c r="A150" s="7"/>
      <c r="B150" s="7"/>
      <c r="C150" s="13" t="str">
        <f>IF(Plan!C20="","",Plan!C20)</f>
        <v>IT12</v>
      </c>
      <c r="D150" s="13" t="str">
        <f>IF(C150="","",Plan!D20)</f>
        <v>Rezerwa zarządcza</v>
      </c>
      <c r="E150" s="33">
        <f>IF(OR(C150="",Parametry!$G$6=""),"",DATE(Parametry!$G$6,10,1))</f>
        <v>46661</v>
      </c>
      <c r="F150" s="34">
        <f>IF(C150="","",Plan!T20)</f>
        <v>0</v>
      </c>
      <c r="G150" s="34">
        <f>IF(C150="","",SUMIFS(ERP!$I$9:$I$1008,ERP!$L$9:$L$1008,C150,ERP!$N$9:$N$1008,1,ERP!$M$9:$M$1008,10))</f>
        <v>0</v>
      </c>
      <c r="H150" s="34">
        <f>IF(C150="","",IF(10&lt;=Parametry!$G$7,0,SUMIFS(Umowy!$N$9:$N$108,Umowy!$D$9:$D$108,C150,Umowy!$O$9:$O$108,10)))</f>
        <v>0</v>
      </c>
      <c r="I150" s="34">
        <f>IF(C150="","",IF(10&lt;=Parametry!$G$7,0,IF(COUNTIFS(Prognoza!$C$9:$C$38,C150)=1,IF(ISBLANK(INDEX(Prognoza!$K$9:$V$38,MATCH($C150,Prognoza!$C$9:$C$38,0),10)),"",IF(ISNUMBER(INDEX(Prognoza!$K$9:$V$38,MATCH($C150,Prognoza!$C$9:$C$38,0),10)),INDEX(Prognoza!$K$9:$V$38,MATCH($C150,Prognoza!$C$9:$C$38,0),10),"")),"")))</f>
        <v>0</v>
      </c>
      <c r="J150" s="35">
        <f>IF(C150="","",IF(Plan!F20="Run",IF(ISNUMBER(INDEX(Parametry!$H$18:$S$18,1,10)),INDEX(Parametry!$H$18:$S$18,1,10),""),IF(ISNUMBER(INDEX(Parametry!$H$24:$S$24,1,10)),INDEX(Parametry!$H$24:$S$24,1,10),"")))</f>
        <v>0</v>
      </c>
      <c r="K150" s="34">
        <f>IF(C150="","",IF(10&lt;=Parametry!$G$7,0,IF(AND(ISNUMBER(I150),ISNUMBER(J150),J150&gt;=-1),I150*(1+J150),"")))</f>
        <v>0</v>
      </c>
      <c r="L150" s="34">
        <f>IF(C150="","",IF(10&lt;=Parametry!$G$7,G150,IF(ISNUMBER(K150),H150+K150,"")))</f>
        <v>0</v>
      </c>
      <c r="M150" s="22">
        <f t="shared" si="4"/>
        <v>0</v>
      </c>
      <c r="N150" s="7">
        <f t="shared" si="5"/>
        <v>0</v>
      </c>
      <c r="O150" s="7"/>
      <c r="P150" s="7"/>
    </row>
    <row r="151" spans="1:16" ht="24" customHeight="1">
      <c r="A151" s="7"/>
      <c r="B151" s="7"/>
      <c r="C151" s="13" t="str">
        <f>IF(Plan!C20="","",Plan!C20)</f>
        <v>IT12</v>
      </c>
      <c r="D151" s="13" t="str">
        <f>IF(C151="","",Plan!D20)</f>
        <v>Rezerwa zarządcza</v>
      </c>
      <c r="E151" s="33">
        <f>IF(OR(C151="",Parametry!$G$6=""),"",DATE(Parametry!$G$6,11,1))</f>
        <v>46692</v>
      </c>
      <c r="F151" s="34">
        <f>IF(C151="","",Plan!U20)</f>
        <v>0</v>
      </c>
      <c r="G151" s="34">
        <f>IF(C151="","",SUMIFS(ERP!$I$9:$I$1008,ERP!$L$9:$L$1008,C151,ERP!$N$9:$N$1008,1,ERP!$M$9:$M$1008,11))</f>
        <v>0</v>
      </c>
      <c r="H151" s="34">
        <f>IF(C151="","",IF(11&lt;=Parametry!$G$7,0,SUMIFS(Umowy!$N$9:$N$108,Umowy!$D$9:$D$108,C151,Umowy!$O$9:$O$108,11)))</f>
        <v>0</v>
      </c>
      <c r="I151" s="34">
        <f>IF(C151="","",IF(11&lt;=Parametry!$G$7,0,IF(COUNTIFS(Prognoza!$C$9:$C$38,C151)=1,IF(ISBLANK(INDEX(Prognoza!$K$9:$V$38,MATCH($C151,Prognoza!$C$9:$C$38,0),11)),"",IF(ISNUMBER(INDEX(Prognoza!$K$9:$V$38,MATCH($C151,Prognoza!$C$9:$C$38,0),11)),INDEX(Prognoza!$K$9:$V$38,MATCH($C151,Prognoza!$C$9:$C$38,0),11),"")),"")))</f>
        <v>0</v>
      </c>
      <c r="J151" s="35">
        <f>IF(C151="","",IF(Plan!F20="Run",IF(ISNUMBER(INDEX(Parametry!$H$18:$S$18,1,11)),INDEX(Parametry!$H$18:$S$18,1,11),""),IF(ISNUMBER(INDEX(Parametry!$H$24:$S$24,1,11)),INDEX(Parametry!$H$24:$S$24,1,11),"")))</f>
        <v>0</v>
      </c>
      <c r="K151" s="34">
        <f>IF(C151="","",IF(11&lt;=Parametry!$G$7,0,IF(AND(ISNUMBER(I151),ISNUMBER(J151),J151&gt;=-1),I151*(1+J151),"")))</f>
        <v>0</v>
      </c>
      <c r="L151" s="34">
        <f>IF(C151="","",IF(11&lt;=Parametry!$G$7,G151,IF(ISNUMBER(K151),H151+K151,"")))</f>
        <v>0</v>
      </c>
      <c r="M151" s="22">
        <f t="shared" si="4"/>
        <v>0</v>
      </c>
      <c r="N151" s="7">
        <f t="shared" si="5"/>
        <v>0</v>
      </c>
      <c r="O151" s="7"/>
      <c r="P151" s="7"/>
    </row>
    <row r="152" spans="1:16" ht="24" customHeight="1">
      <c r="A152" s="7"/>
      <c r="B152" s="7"/>
      <c r="C152" s="13" t="str">
        <f>IF(Plan!C20="","",Plan!C20)</f>
        <v>IT12</v>
      </c>
      <c r="D152" s="13" t="str">
        <f>IF(C152="","",Plan!D20)</f>
        <v>Rezerwa zarządcza</v>
      </c>
      <c r="E152" s="33">
        <f>IF(OR(C152="",Parametry!$G$6=""),"",DATE(Parametry!$G$6,12,1))</f>
        <v>46722</v>
      </c>
      <c r="F152" s="34">
        <f>IF(C152="","",Plan!V20)</f>
        <v>20000</v>
      </c>
      <c r="G152" s="34">
        <f>IF(C152="","",SUMIFS(ERP!$I$9:$I$1008,ERP!$L$9:$L$1008,C152,ERP!$N$9:$N$1008,1,ERP!$M$9:$M$1008,12))</f>
        <v>0</v>
      </c>
      <c r="H152" s="34">
        <f>IF(C152="","",IF(12&lt;=Parametry!$G$7,0,SUMIFS(Umowy!$N$9:$N$108,Umowy!$D$9:$D$108,C152,Umowy!$O$9:$O$108,12)))</f>
        <v>0</v>
      </c>
      <c r="I152" s="34">
        <f>IF(C152="","",IF(12&lt;=Parametry!$G$7,0,IF(COUNTIFS(Prognoza!$C$9:$C$38,C152)=1,IF(ISBLANK(INDEX(Prognoza!$K$9:$V$38,MATCH($C152,Prognoza!$C$9:$C$38,0),12)),"",IF(ISNUMBER(INDEX(Prognoza!$K$9:$V$38,MATCH($C152,Prognoza!$C$9:$C$38,0),12)),INDEX(Prognoza!$K$9:$V$38,MATCH($C152,Prognoza!$C$9:$C$38,0),12),"")),"")))</f>
        <v>5000</v>
      </c>
      <c r="J152" s="35">
        <f>IF(C152="","",IF(Plan!F20="Run",IF(ISNUMBER(INDEX(Parametry!$H$18:$S$18,1,12)),INDEX(Parametry!$H$18:$S$18,1,12),""),IF(ISNUMBER(INDEX(Parametry!$H$24:$S$24,1,12)),INDEX(Parametry!$H$24:$S$24,1,12),"")))</f>
        <v>0</v>
      </c>
      <c r="K152" s="34">
        <f>IF(C152="","",IF(12&lt;=Parametry!$G$7,0,IF(AND(ISNUMBER(I152),ISNUMBER(J152),J152&gt;=-1),I152*(1+J152),"")))</f>
        <v>5000</v>
      </c>
      <c r="L152" s="34">
        <f>IF(C152="","",IF(12&lt;=Parametry!$G$7,G152,IF(ISNUMBER(K152),H152+K152,"")))</f>
        <v>5000</v>
      </c>
      <c r="M152" s="22">
        <f t="shared" si="4"/>
        <v>-15000</v>
      </c>
      <c r="N152" s="7">
        <f t="shared" si="5"/>
        <v>0</v>
      </c>
      <c r="O152" s="7"/>
      <c r="P152" s="7"/>
    </row>
    <row r="153" spans="1:16" ht="24" customHeight="1">
      <c r="A153" s="7"/>
      <c r="B153" s="7"/>
      <c r="C153" s="13" t="str">
        <f>IF(Plan!C21="","",Plan!C21)</f>
        <v>IT13</v>
      </c>
      <c r="D153" s="13" t="str">
        <f>IF(C153="","",Plan!D21)</f>
        <v>Praca poza planem</v>
      </c>
      <c r="E153" s="33">
        <f>IF(OR(C153="",Parametry!$G$6=""),"",DATE(Parametry!$G$6,1,1))</f>
        <v>46388</v>
      </c>
      <c r="F153" s="34">
        <f>IF(C153="","",Plan!K21)</f>
        <v>0</v>
      </c>
      <c r="G153" s="34">
        <f>IF(C153="","",SUMIFS(ERP!$I$9:$I$1008,ERP!$L$9:$L$1008,C153,ERP!$N$9:$N$1008,1,ERP!$M$9:$M$1008,1))</f>
        <v>0</v>
      </c>
      <c r="H153" s="34">
        <f>IF(C153="","",IF(1&lt;=Parametry!$G$7,0,SUMIFS(Umowy!$N$9:$N$108,Umowy!$D$9:$D$108,C153,Umowy!$O$9:$O$108,1)))</f>
        <v>0</v>
      </c>
      <c r="I153" s="34">
        <f>IF(C153="","",IF(1&lt;=Parametry!$G$7,0,IF(COUNTIFS(Prognoza!$C$9:$C$38,C153)=1,IF(ISBLANK(INDEX(Prognoza!$K$9:$V$38,MATCH($C153,Prognoza!$C$9:$C$38,0),1)),"",IF(ISNUMBER(INDEX(Prognoza!$K$9:$V$38,MATCH($C153,Prognoza!$C$9:$C$38,0),1)),INDEX(Prognoza!$K$9:$V$38,MATCH($C153,Prognoza!$C$9:$C$38,0),1),"")),"")))</f>
        <v>0</v>
      </c>
      <c r="J153" s="35">
        <f>IF(C153="","",IF(Plan!F21="Run",IF(ISNUMBER(INDEX(Parametry!$H$18:$S$18,1,1)),INDEX(Parametry!$H$18:$S$18,1,1),""),IF(ISNUMBER(INDEX(Parametry!$H$24:$S$24,1,1)),INDEX(Parametry!$H$24:$S$24,1,1),"")))</f>
        <v>0</v>
      </c>
      <c r="K153" s="34">
        <f>IF(C153="","",IF(1&lt;=Parametry!$G$7,0,IF(AND(ISNUMBER(I153),ISNUMBER(J153),J153&gt;=-1),I153*(1+J153),"")))</f>
        <v>0</v>
      </c>
      <c r="L153" s="34">
        <f>IF(C153="","",IF(1&lt;=Parametry!$G$7,G153,IF(ISNUMBER(K153),H153+K153,"")))</f>
        <v>0</v>
      </c>
      <c r="M153" s="22">
        <f t="shared" si="4"/>
        <v>0</v>
      </c>
      <c r="N153" s="7">
        <f t="shared" si="5"/>
        <v>0</v>
      </c>
      <c r="O153" s="7"/>
      <c r="P153" s="7"/>
    </row>
    <row r="154" spans="1:16" ht="24" customHeight="1">
      <c r="A154" s="7"/>
      <c r="B154" s="7"/>
      <c r="C154" s="13" t="str">
        <f>IF(Plan!C21="","",Plan!C21)</f>
        <v>IT13</v>
      </c>
      <c r="D154" s="13" t="str">
        <f>IF(C154="","",Plan!D21)</f>
        <v>Praca poza planem</v>
      </c>
      <c r="E154" s="33">
        <f>IF(OR(C154="",Parametry!$G$6=""),"",DATE(Parametry!$G$6,2,1))</f>
        <v>46419</v>
      </c>
      <c r="F154" s="34">
        <f>IF(C154="","",Plan!L21)</f>
        <v>0</v>
      </c>
      <c r="G154" s="34">
        <f>IF(C154="","",SUMIFS(ERP!$I$9:$I$1008,ERP!$L$9:$L$1008,C154,ERP!$N$9:$N$1008,1,ERP!$M$9:$M$1008,2))</f>
        <v>0</v>
      </c>
      <c r="H154" s="34">
        <f>IF(C154="","",IF(2&lt;=Parametry!$G$7,0,SUMIFS(Umowy!$N$9:$N$108,Umowy!$D$9:$D$108,C154,Umowy!$O$9:$O$108,2)))</f>
        <v>0</v>
      </c>
      <c r="I154" s="34">
        <f>IF(C154="","",IF(2&lt;=Parametry!$G$7,0,IF(COUNTIFS(Prognoza!$C$9:$C$38,C154)=1,IF(ISBLANK(INDEX(Prognoza!$K$9:$V$38,MATCH($C154,Prognoza!$C$9:$C$38,0),2)),"",IF(ISNUMBER(INDEX(Prognoza!$K$9:$V$38,MATCH($C154,Prognoza!$C$9:$C$38,0),2)),INDEX(Prognoza!$K$9:$V$38,MATCH($C154,Prognoza!$C$9:$C$38,0),2),"")),"")))</f>
        <v>0</v>
      </c>
      <c r="J154" s="35">
        <f>IF(C154="","",IF(Plan!F21="Run",IF(ISNUMBER(INDEX(Parametry!$H$18:$S$18,1,2)),INDEX(Parametry!$H$18:$S$18,1,2),""),IF(ISNUMBER(INDEX(Parametry!$H$24:$S$24,1,2)),INDEX(Parametry!$H$24:$S$24,1,2),"")))</f>
        <v>0</v>
      </c>
      <c r="K154" s="34">
        <f>IF(C154="","",IF(2&lt;=Parametry!$G$7,0,IF(AND(ISNUMBER(I154),ISNUMBER(J154),J154&gt;=-1),I154*(1+J154),"")))</f>
        <v>0</v>
      </c>
      <c r="L154" s="34">
        <f>IF(C154="","",IF(2&lt;=Parametry!$G$7,G154,IF(ISNUMBER(K154),H154+K154,"")))</f>
        <v>0</v>
      </c>
      <c r="M154" s="22">
        <f t="shared" si="4"/>
        <v>0</v>
      </c>
      <c r="N154" s="7">
        <f t="shared" si="5"/>
        <v>0</v>
      </c>
      <c r="O154" s="7"/>
      <c r="P154" s="7"/>
    </row>
    <row r="155" spans="1:16" ht="24" customHeight="1">
      <c r="A155" s="7"/>
      <c r="B155" s="7"/>
      <c r="C155" s="13" t="str">
        <f>IF(Plan!C21="","",Plan!C21)</f>
        <v>IT13</v>
      </c>
      <c r="D155" s="13" t="str">
        <f>IF(C155="","",Plan!D21)</f>
        <v>Praca poza planem</v>
      </c>
      <c r="E155" s="33">
        <f>IF(OR(C155="",Parametry!$G$6=""),"",DATE(Parametry!$G$6,3,1))</f>
        <v>46447</v>
      </c>
      <c r="F155" s="34">
        <f>IF(C155="","",Plan!M21)</f>
        <v>0</v>
      </c>
      <c r="G155" s="34">
        <f>IF(C155="","",SUMIFS(ERP!$I$9:$I$1008,ERP!$L$9:$L$1008,C155,ERP!$N$9:$N$1008,1,ERP!$M$9:$M$1008,3))</f>
        <v>0</v>
      </c>
      <c r="H155" s="34">
        <f>IF(C155="","",IF(3&lt;=Parametry!$G$7,0,SUMIFS(Umowy!$N$9:$N$108,Umowy!$D$9:$D$108,C155,Umowy!$O$9:$O$108,3)))</f>
        <v>0</v>
      </c>
      <c r="I155" s="34">
        <f>IF(C155="","",IF(3&lt;=Parametry!$G$7,0,IF(COUNTIFS(Prognoza!$C$9:$C$38,C155)=1,IF(ISBLANK(INDEX(Prognoza!$K$9:$V$38,MATCH($C155,Prognoza!$C$9:$C$38,0),3)),"",IF(ISNUMBER(INDEX(Prognoza!$K$9:$V$38,MATCH($C155,Prognoza!$C$9:$C$38,0),3)),INDEX(Prognoza!$K$9:$V$38,MATCH($C155,Prognoza!$C$9:$C$38,0),3),"")),"")))</f>
        <v>0</v>
      </c>
      <c r="J155" s="35">
        <f>IF(C155="","",IF(Plan!F21="Run",IF(ISNUMBER(INDEX(Parametry!$H$18:$S$18,1,3)),INDEX(Parametry!$H$18:$S$18,1,3),""),IF(ISNUMBER(INDEX(Parametry!$H$24:$S$24,1,3)),INDEX(Parametry!$H$24:$S$24,1,3),"")))</f>
        <v>0</v>
      </c>
      <c r="K155" s="34">
        <f>IF(C155="","",IF(3&lt;=Parametry!$G$7,0,IF(AND(ISNUMBER(I155),ISNUMBER(J155),J155&gt;=-1),I155*(1+J155),"")))</f>
        <v>0</v>
      </c>
      <c r="L155" s="34">
        <f>IF(C155="","",IF(3&lt;=Parametry!$G$7,G155,IF(ISNUMBER(K155),H155+K155,"")))</f>
        <v>0</v>
      </c>
      <c r="M155" s="22">
        <f t="shared" si="4"/>
        <v>0</v>
      </c>
      <c r="N155" s="7">
        <f t="shared" si="5"/>
        <v>0</v>
      </c>
      <c r="O155" s="7"/>
      <c r="P155" s="7"/>
    </row>
    <row r="156" spans="1:16" ht="24" customHeight="1">
      <c r="A156" s="7"/>
      <c r="B156" s="7"/>
      <c r="C156" s="13" t="str">
        <f>IF(Plan!C21="","",Plan!C21)</f>
        <v>IT13</v>
      </c>
      <c r="D156" s="13" t="str">
        <f>IF(C156="","",Plan!D21)</f>
        <v>Praca poza planem</v>
      </c>
      <c r="E156" s="33">
        <f>IF(OR(C156="",Parametry!$G$6=""),"",DATE(Parametry!$G$6,4,1))</f>
        <v>46478</v>
      </c>
      <c r="F156" s="34">
        <f>IF(C156="","",Plan!N21)</f>
        <v>0</v>
      </c>
      <c r="G156" s="34">
        <f>IF(C156="","",SUMIFS(ERP!$I$9:$I$1008,ERP!$L$9:$L$1008,C156,ERP!$N$9:$N$1008,1,ERP!$M$9:$M$1008,4))</f>
        <v>0</v>
      </c>
      <c r="H156" s="34">
        <f>IF(C156="","",IF(4&lt;=Parametry!$G$7,0,SUMIFS(Umowy!$N$9:$N$108,Umowy!$D$9:$D$108,C156,Umowy!$O$9:$O$108,4)))</f>
        <v>0</v>
      </c>
      <c r="I156" s="34">
        <f>IF(C156="","",IF(4&lt;=Parametry!$G$7,0,IF(COUNTIFS(Prognoza!$C$9:$C$38,C156)=1,IF(ISBLANK(INDEX(Prognoza!$K$9:$V$38,MATCH($C156,Prognoza!$C$9:$C$38,0),4)),"",IF(ISNUMBER(INDEX(Prognoza!$K$9:$V$38,MATCH($C156,Prognoza!$C$9:$C$38,0),4)),INDEX(Prognoza!$K$9:$V$38,MATCH($C156,Prognoza!$C$9:$C$38,0),4),"")),"")))</f>
        <v>0</v>
      </c>
      <c r="J156" s="35">
        <f>IF(C156="","",IF(Plan!F21="Run",IF(ISNUMBER(INDEX(Parametry!$H$18:$S$18,1,4)),INDEX(Parametry!$H$18:$S$18,1,4),""),IF(ISNUMBER(INDEX(Parametry!$H$24:$S$24,1,4)),INDEX(Parametry!$H$24:$S$24,1,4),"")))</f>
        <v>0</v>
      </c>
      <c r="K156" s="34">
        <f>IF(C156="","",IF(4&lt;=Parametry!$G$7,0,IF(AND(ISNUMBER(I156),ISNUMBER(J156),J156&gt;=-1),I156*(1+J156),"")))</f>
        <v>0</v>
      </c>
      <c r="L156" s="34">
        <f>IF(C156="","",IF(4&lt;=Parametry!$G$7,G156,IF(ISNUMBER(K156),H156+K156,"")))</f>
        <v>0</v>
      </c>
      <c r="M156" s="22">
        <f t="shared" si="4"/>
        <v>0</v>
      </c>
      <c r="N156" s="7">
        <f t="shared" si="5"/>
        <v>0</v>
      </c>
      <c r="O156" s="7"/>
      <c r="P156" s="7"/>
    </row>
    <row r="157" spans="1:16" ht="24" customHeight="1">
      <c r="A157" s="7"/>
      <c r="B157" s="7"/>
      <c r="C157" s="13" t="str">
        <f>IF(Plan!C21="","",Plan!C21)</f>
        <v>IT13</v>
      </c>
      <c r="D157" s="13" t="str">
        <f>IF(C157="","",Plan!D21)</f>
        <v>Praca poza planem</v>
      </c>
      <c r="E157" s="33">
        <f>IF(OR(C157="",Parametry!$G$6=""),"",DATE(Parametry!$G$6,5,1))</f>
        <v>46508</v>
      </c>
      <c r="F157" s="34">
        <f>IF(C157="","",Plan!O21)</f>
        <v>0</v>
      </c>
      <c r="G157" s="34">
        <f>IF(C157="","",SUMIFS(ERP!$I$9:$I$1008,ERP!$L$9:$L$1008,C157,ERP!$N$9:$N$1008,1,ERP!$M$9:$M$1008,5))</f>
        <v>0</v>
      </c>
      <c r="H157" s="34">
        <f>IF(C157="","",IF(5&lt;=Parametry!$G$7,0,SUMIFS(Umowy!$N$9:$N$108,Umowy!$D$9:$D$108,C157,Umowy!$O$9:$O$108,5)))</f>
        <v>0</v>
      </c>
      <c r="I157" s="34">
        <f>IF(C157="","",IF(5&lt;=Parametry!$G$7,0,IF(COUNTIFS(Prognoza!$C$9:$C$38,C157)=1,IF(ISBLANK(INDEX(Prognoza!$K$9:$V$38,MATCH($C157,Prognoza!$C$9:$C$38,0),5)),"",IF(ISNUMBER(INDEX(Prognoza!$K$9:$V$38,MATCH($C157,Prognoza!$C$9:$C$38,0),5)),INDEX(Prognoza!$K$9:$V$38,MATCH($C157,Prognoza!$C$9:$C$38,0),5),"")),"")))</f>
        <v>0</v>
      </c>
      <c r="J157" s="35">
        <f>IF(C157="","",IF(Plan!F21="Run",IF(ISNUMBER(INDEX(Parametry!$H$18:$S$18,1,5)),INDEX(Parametry!$H$18:$S$18,1,5),""),IF(ISNUMBER(INDEX(Parametry!$H$24:$S$24,1,5)),INDEX(Parametry!$H$24:$S$24,1,5),"")))</f>
        <v>0</v>
      </c>
      <c r="K157" s="34">
        <f>IF(C157="","",IF(5&lt;=Parametry!$G$7,0,IF(AND(ISNUMBER(I157),ISNUMBER(J157),J157&gt;=-1),I157*(1+J157),"")))</f>
        <v>0</v>
      </c>
      <c r="L157" s="34">
        <f>IF(C157="","",IF(5&lt;=Parametry!$G$7,G157,IF(ISNUMBER(K157),H157+K157,"")))</f>
        <v>0</v>
      </c>
      <c r="M157" s="22">
        <f t="shared" si="4"/>
        <v>0</v>
      </c>
      <c r="N157" s="7">
        <f t="shared" si="5"/>
        <v>0</v>
      </c>
      <c r="O157" s="7"/>
      <c r="P157" s="7"/>
    </row>
    <row r="158" spans="1:16" ht="24" customHeight="1">
      <c r="A158" s="7"/>
      <c r="B158" s="7"/>
      <c r="C158" s="13" t="str">
        <f>IF(Plan!C21="","",Plan!C21)</f>
        <v>IT13</v>
      </c>
      <c r="D158" s="13" t="str">
        <f>IF(C158="","",Plan!D21)</f>
        <v>Praca poza planem</v>
      </c>
      <c r="E158" s="33">
        <f>IF(OR(C158="",Parametry!$G$6=""),"",DATE(Parametry!$G$6,6,1))</f>
        <v>46539</v>
      </c>
      <c r="F158" s="34">
        <f>IF(C158="","",Plan!P21)</f>
        <v>0</v>
      </c>
      <c r="G158" s="34">
        <f>IF(C158="","",SUMIFS(ERP!$I$9:$I$1008,ERP!$L$9:$L$1008,C158,ERP!$N$9:$N$1008,1,ERP!$M$9:$M$1008,6))</f>
        <v>3000</v>
      </c>
      <c r="H158" s="34">
        <f>IF(C158="","",IF(6&lt;=Parametry!$G$7,0,SUMIFS(Umowy!$N$9:$N$108,Umowy!$D$9:$D$108,C158,Umowy!$O$9:$O$108,6)))</f>
        <v>0</v>
      </c>
      <c r="I158" s="34">
        <f>IF(C158="","",IF(6&lt;=Parametry!$G$7,0,IF(COUNTIFS(Prognoza!$C$9:$C$38,C158)=1,IF(ISBLANK(INDEX(Prognoza!$K$9:$V$38,MATCH($C158,Prognoza!$C$9:$C$38,0),6)),"",IF(ISNUMBER(INDEX(Prognoza!$K$9:$V$38,MATCH($C158,Prognoza!$C$9:$C$38,0),6)),INDEX(Prognoza!$K$9:$V$38,MATCH($C158,Prognoza!$C$9:$C$38,0),6),"")),"")))</f>
        <v>0</v>
      </c>
      <c r="J158" s="35">
        <f>IF(C158="","",IF(Plan!F21="Run",IF(ISNUMBER(INDEX(Parametry!$H$18:$S$18,1,6)),INDEX(Parametry!$H$18:$S$18,1,6),""),IF(ISNUMBER(INDEX(Parametry!$H$24:$S$24,1,6)),INDEX(Parametry!$H$24:$S$24,1,6),"")))</f>
        <v>0</v>
      </c>
      <c r="K158" s="34">
        <f>IF(C158="","",IF(6&lt;=Parametry!$G$7,0,IF(AND(ISNUMBER(I158),ISNUMBER(J158),J158&gt;=-1),I158*(1+J158),"")))</f>
        <v>0</v>
      </c>
      <c r="L158" s="34">
        <f>IF(C158="","",IF(6&lt;=Parametry!$G$7,G158,IF(ISNUMBER(K158),H158+K158,"")))</f>
        <v>3000</v>
      </c>
      <c r="M158" s="22">
        <f t="shared" si="4"/>
        <v>3000</v>
      </c>
      <c r="N158" s="7">
        <f t="shared" si="5"/>
        <v>0</v>
      </c>
      <c r="O158" s="7"/>
      <c r="P158" s="7"/>
    </row>
    <row r="159" spans="1:16" ht="24" customHeight="1">
      <c r="A159" s="7"/>
      <c r="B159" s="7"/>
      <c r="C159" s="13" t="str">
        <f>IF(Plan!C21="","",Plan!C21)</f>
        <v>IT13</v>
      </c>
      <c r="D159" s="13" t="str">
        <f>IF(C159="","",Plan!D21)</f>
        <v>Praca poza planem</v>
      </c>
      <c r="E159" s="33">
        <f>IF(OR(C159="",Parametry!$G$6=""),"",DATE(Parametry!$G$6,7,1))</f>
        <v>46569</v>
      </c>
      <c r="F159" s="34">
        <f>IF(C159="","",Plan!Q21)</f>
        <v>0</v>
      </c>
      <c r="G159" s="34">
        <f>IF(C159="","",SUMIFS(ERP!$I$9:$I$1008,ERP!$L$9:$L$1008,C159,ERP!$N$9:$N$1008,1,ERP!$M$9:$M$1008,7))</f>
        <v>0</v>
      </c>
      <c r="H159" s="34">
        <f>IF(C159="","",IF(7&lt;=Parametry!$G$7,0,SUMIFS(Umowy!$N$9:$N$108,Umowy!$D$9:$D$108,C159,Umowy!$O$9:$O$108,7)))</f>
        <v>0</v>
      </c>
      <c r="I159" s="34">
        <f>IF(C159="","",IF(7&lt;=Parametry!$G$7,0,IF(COUNTIFS(Prognoza!$C$9:$C$38,C159)=1,IF(ISBLANK(INDEX(Prognoza!$K$9:$V$38,MATCH($C159,Prognoza!$C$9:$C$38,0),7)),"",IF(ISNUMBER(INDEX(Prognoza!$K$9:$V$38,MATCH($C159,Prognoza!$C$9:$C$38,0),7)),INDEX(Prognoza!$K$9:$V$38,MATCH($C159,Prognoza!$C$9:$C$38,0),7),"")),"")))</f>
        <v>0</v>
      </c>
      <c r="J159" s="35">
        <f>IF(C159="","",IF(Plan!F21="Run",IF(ISNUMBER(INDEX(Parametry!$H$18:$S$18,1,7)),INDEX(Parametry!$H$18:$S$18,1,7),""),IF(ISNUMBER(INDEX(Parametry!$H$24:$S$24,1,7)),INDEX(Parametry!$H$24:$S$24,1,7),"")))</f>
        <v>0</v>
      </c>
      <c r="K159" s="34">
        <f>IF(C159="","",IF(7&lt;=Parametry!$G$7,0,IF(AND(ISNUMBER(I159),ISNUMBER(J159),J159&gt;=-1),I159*(1+J159),"")))</f>
        <v>0</v>
      </c>
      <c r="L159" s="34">
        <f>IF(C159="","",IF(7&lt;=Parametry!$G$7,G159,IF(ISNUMBER(K159),H159+K159,"")))</f>
        <v>0</v>
      </c>
      <c r="M159" s="22">
        <f t="shared" si="4"/>
        <v>0</v>
      </c>
      <c r="N159" s="7">
        <f t="shared" si="5"/>
        <v>0</v>
      </c>
      <c r="O159" s="7"/>
      <c r="P159" s="7"/>
    </row>
    <row r="160" spans="1:16" ht="24" customHeight="1">
      <c r="A160" s="7"/>
      <c r="B160" s="7"/>
      <c r="C160" s="13" t="str">
        <f>IF(Plan!C21="","",Plan!C21)</f>
        <v>IT13</v>
      </c>
      <c r="D160" s="13" t="str">
        <f>IF(C160="","",Plan!D21)</f>
        <v>Praca poza planem</v>
      </c>
      <c r="E160" s="33">
        <f>IF(OR(C160="",Parametry!$G$6=""),"",DATE(Parametry!$G$6,8,1))</f>
        <v>46600</v>
      </c>
      <c r="F160" s="34">
        <f>IF(C160="","",Plan!R21)</f>
        <v>0</v>
      </c>
      <c r="G160" s="34">
        <f>IF(C160="","",SUMIFS(ERP!$I$9:$I$1008,ERP!$L$9:$L$1008,C160,ERP!$N$9:$N$1008,1,ERP!$M$9:$M$1008,8))</f>
        <v>0</v>
      </c>
      <c r="H160" s="34">
        <f>IF(C160="","",IF(8&lt;=Parametry!$G$7,0,SUMIFS(Umowy!$N$9:$N$108,Umowy!$D$9:$D$108,C160,Umowy!$O$9:$O$108,8)))</f>
        <v>0</v>
      </c>
      <c r="I160" s="34">
        <f>IF(C160="","",IF(8&lt;=Parametry!$G$7,0,IF(COUNTIFS(Prognoza!$C$9:$C$38,C160)=1,IF(ISBLANK(INDEX(Prognoza!$K$9:$V$38,MATCH($C160,Prognoza!$C$9:$C$38,0),8)),"",IF(ISNUMBER(INDEX(Prognoza!$K$9:$V$38,MATCH($C160,Prognoza!$C$9:$C$38,0),8)),INDEX(Prognoza!$K$9:$V$38,MATCH($C160,Prognoza!$C$9:$C$38,0),8),"")),"")))</f>
        <v>0</v>
      </c>
      <c r="J160" s="35">
        <f>IF(C160="","",IF(Plan!F21="Run",IF(ISNUMBER(INDEX(Parametry!$H$18:$S$18,1,8)),INDEX(Parametry!$H$18:$S$18,1,8),""),IF(ISNUMBER(INDEX(Parametry!$H$24:$S$24,1,8)),INDEX(Parametry!$H$24:$S$24,1,8),"")))</f>
        <v>0</v>
      </c>
      <c r="K160" s="34">
        <f>IF(C160="","",IF(8&lt;=Parametry!$G$7,0,IF(AND(ISNUMBER(I160),ISNUMBER(J160),J160&gt;=-1),I160*(1+J160),"")))</f>
        <v>0</v>
      </c>
      <c r="L160" s="34">
        <f>IF(C160="","",IF(8&lt;=Parametry!$G$7,G160,IF(ISNUMBER(K160),H160+K160,"")))</f>
        <v>0</v>
      </c>
      <c r="M160" s="22">
        <f t="shared" si="4"/>
        <v>0</v>
      </c>
      <c r="N160" s="7">
        <f t="shared" si="5"/>
        <v>0</v>
      </c>
      <c r="O160" s="7"/>
      <c r="P160" s="7"/>
    </row>
    <row r="161" spans="1:16" ht="24" customHeight="1">
      <c r="A161" s="7"/>
      <c r="B161" s="7"/>
      <c r="C161" s="13" t="str">
        <f>IF(Plan!C21="","",Plan!C21)</f>
        <v>IT13</v>
      </c>
      <c r="D161" s="13" t="str">
        <f>IF(C161="","",Plan!D21)</f>
        <v>Praca poza planem</v>
      </c>
      <c r="E161" s="33">
        <f>IF(OR(C161="",Parametry!$G$6=""),"",DATE(Parametry!$G$6,9,1))</f>
        <v>46631</v>
      </c>
      <c r="F161" s="34">
        <f>IF(C161="","",Plan!S21)</f>
        <v>0</v>
      </c>
      <c r="G161" s="34">
        <f>IF(C161="","",SUMIFS(ERP!$I$9:$I$1008,ERP!$L$9:$L$1008,C161,ERP!$N$9:$N$1008,1,ERP!$M$9:$M$1008,9))</f>
        <v>0</v>
      </c>
      <c r="H161" s="34">
        <f>IF(C161="","",IF(9&lt;=Parametry!$G$7,0,SUMIFS(Umowy!$N$9:$N$108,Umowy!$D$9:$D$108,C161,Umowy!$O$9:$O$108,9)))</f>
        <v>0</v>
      </c>
      <c r="I161" s="34">
        <f>IF(C161="","",IF(9&lt;=Parametry!$G$7,0,IF(COUNTIFS(Prognoza!$C$9:$C$38,C161)=1,IF(ISBLANK(INDEX(Prognoza!$K$9:$V$38,MATCH($C161,Prognoza!$C$9:$C$38,0),9)),"",IF(ISNUMBER(INDEX(Prognoza!$K$9:$V$38,MATCH($C161,Prognoza!$C$9:$C$38,0),9)),INDEX(Prognoza!$K$9:$V$38,MATCH($C161,Prognoza!$C$9:$C$38,0),9),"")),"")))</f>
        <v>0</v>
      </c>
      <c r="J161" s="35">
        <f>IF(C161="","",IF(Plan!F21="Run",IF(ISNUMBER(INDEX(Parametry!$H$18:$S$18,1,9)),INDEX(Parametry!$H$18:$S$18,1,9),""),IF(ISNUMBER(INDEX(Parametry!$H$24:$S$24,1,9)),INDEX(Parametry!$H$24:$S$24,1,9),"")))</f>
        <v>0</v>
      </c>
      <c r="K161" s="34">
        <f>IF(C161="","",IF(9&lt;=Parametry!$G$7,0,IF(AND(ISNUMBER(I161),ISNUMBER(J161),J161&gt;=-1),I161*(1+J161),"")))</f>
        <v>0</v>
      </c>
      <c r="L161" s="34">
        <f>IF(C161="","",IF(9&lt;=Parametry!$G$7,G161,IF(ISNUMBER(K161),H161+K161,"")))</f>
        <v>0</v>
      </c>
      <c r="M161" s="22">
        <f t="shared" si="4"/>
        <v>0</v>
      </c>
      <c r="N161" s="7">
        <f t="shared" si="5"/>
        <v>0</v>
      </c>
      <c r="O161" s="7"/>
      <c r="P161" s="7"/>
    </row>
    <row r="162" spans="1:16" ht="24" customHeight="1">
      <c r="A162" s="7"/>
      <c r="B162" s="7"/>
      <c r="C162" s="13" t="str">
        <f>IF(Plan!C21="","",Plan!C21)</f>
        <v>IT13</v>
      </c>
      <c r="D162" s="13" t="str">
        <f>IF(C162="","",Plan!D21)</f>
        <v>Praca poza planem</v>
      </c>
      <c r="E162" s="33">
        <f>IF(OR(C162="",Parametry!$G$6=""),"",DATE(Parametry!$G$6,10,1))</f>
        <v>46661</v>
      </c>
      <c r="F162" s="34">
        <f>IF(C162="","",Plan!T21)</f>
        <v>0</v>
      </c>
      <c r="G162" s="34">
        <f>IF(C162="","",SUMIFS(ERP!$I$9:$I$1008,ERP!$L$9:$L$1008,C162,ERP!$N$9:$N$1008,1,ERP!$M$9:$M$1008,10))</f>
        <v>0</v>
      </c>
      <c r="H162" s="34">
        <f>IF(C162="","",IF(10&lt;=Parametry!$G$7,0,SUMIFS(Umowy!$N$9:$N$108,Umowy!$D$9:$D$108,C162,Umowy!$O$9:$O$108,10)))</f>
        <v>0</v>
      </c>
      <c r="I162" s="34">
        <f>IF(C162="","",IF(10&lt;=Parametry!$G$7,0,IF(COUNTIFS(Prognoza!$C$9:$C$38,C162)=1,IF(ISBLANK(INDEX(Prognoza!$K$9:$V$38,MATCH($C162,Prognoza!$C$9:$C$38,0),10)),"",IF(ISNUMBER(INDEX(Prognoza!$K$9:$V$38,MATCH($C162,Prognoza!$C$9:$C$38,0),10)),INDEX(Prognoza!$K$9:$V$38,MATCH($C162,Prognoza!$C$9:$C$38,0),10),"")),"")))</f>
        <v>0</v>
      </c>
      <c r="J162" s="35">
        <f>IF(C162="","",IF(Plan!F21="Run",IF(ISNUMBER(INDEX(Parametry!$H$18:$S$18,1,10)),INDEX(Parametry!$H$18:$S$18,1,10),""),IF(ISNUMBER(INDEX(Parametry!$H$24:$S$24,1,10)),INDEX(Parametry!$H$24:$S$24,1,10),"")))</f>
        <v>0</v>
      </c>
      <c r="K162" s="34">
        <f>IF(C162="","",IF(10&lt;=Parametry!$G$7,0,IF(AND(ISNUMBER(I162),ISNUMBER(J162),J162&gt;=-1),I162*(1+J162),"")))</f>
        <v>0</v>
      </c>
      <c r="L162" s="34">
        <f>IF(C162="","",IF(10&lt;=Parametry!$G$7,G162,IF(ISNUMBER(K162),H162+K162,"")))</f>
        <v>0</v>
      </c>
      <c r="M162" s="22">
        <f t="shared" si="4"/>
        <v>0</v>
      </c>
      <c r="N162" s="7">
        <f t="shared" si="5"/>
        <v>0</v>
      </c>
      <c r="O162" s="7"/>
      <c r="P162" s="7"/>
    </row>
    <row r="163" spans="1:16" ht="24" customHeight="1">
      <c r="A163" s="7"/>
      <c r="B163" s="7"/>
      <c r="C163" s="13" t="str">
        <f>IF(Plan!C21="","",Plan!C21)</f>
        <v>IT13</v>
      </c>
      <c r="D163" s="13" t="str">
        <f>IF(C163="","",Plan!D21)</f>
        <v>Praca poza planem</v>
      </c>
      <c r="E163" s="33">
        <f>IF(OR(C163="",Parametry!$G$6=""),"",DATE(Parametry!$G$6,11,1))</f>
        <v>46692</v>
      </c>
      <c r="F163" s="34">
        <f>IF(C163="","",Plan!U21)</f>
        <v>0</v>
      </c>
      <c r="G163" s="34">
        <f>IF(C163="","",SUMIFS(ERP!$I$9:$I$1008,ERP!$L$9:$L$1008,C163,ERP!$N$9:$N$1008,1,ERP!$M$9:$M$1008,11))</f>
        <v>0</v>
      </c>
      <c r="H163" s="34">
        <f>IF(C163="","",IF(11&lt;=Parametry!$G$7,0,SUMIFS(Umowy!$N$9:$N$108,Umowy!$D$9:$D$108,C163,Umowy!$O$9:$O$108,11)))</f>
        <v>0</v>
      </c>
      <c r="I163" s="34">
        <f>IF(C163="","",IF(11&lt;=Parametry!$G$7,0,IF(COUNTIFS(Prognoza!$C$9:$C$38,C163)=1,IF(ISBLANK(INDEX(Prognoza!$K$9:$V$38,MATCH($C163,Prognoza!$C$9:$C$38,0),11)),"",IF(ISNUMBER(INDEX(Prognoza!$K$9:$V$38,MATCH($C163,Prognoza!$C$9:$C$38,0),11)),INDEX(Prognoza!$K$9:$V$38,MATCH($C163,Prognoza!$C$9:$C$38,0),11),"")),"")))</f>
        <v>0</v>
      </c>
      <c r="J163" s="35">
        <f>IF(C163="","",IF(Plan!F21="Run",IF(ISNUMBER(INDEX(Parametry!$H$18:$S$18,1,11)),INDEX(Parametry!$H$18:$S$18,1,11),""),IF(ISNUMBER(INDEX(Parametry!$H$24:$S$24,1,11)),INDEX(Parametry!$H$24:$S$24,1,11),"")))</f>
        <v>0</v>
      </c>
      <c r="K163" s="34">
        <f>IF(C163="","",IF(11&lt;=Parametry!$G$7,0,IF(AND(ISNUMBER(I163),ISNUMBER(J163),J163&gt;=-1),I163*(1+J163),"")))</f>
        <v>0</v>
      </c>
      <c r="L163" s="34">
        <f>IF(C163="","",IF(11&lt;=Parametry!$G$7,G163,IF(ISNUMBER(K163),H163+K163,"")))</f>
        <v>0</v>
      </c>
      <c r="M163" s="22">
        <f t="shared" si="4"/>
        <v>0</v>
      </c>
      <c r="N163" s="7">
        <f t="shared" si="5"/>
        <v>0</v>
      </c>
      <c r="O163" s="7"/>
      <c r="P163" s="7"/>
    </row>
    <row r="164" spans="1:16" ht="24" customHeight="1">
      <c r="A164" s="7"/>
      <c r="B164" s="7"/>
      <c r="C164" s="13" t="str">
        <f>IF(Plan!C21="","",Plan!C21)</f>
        <v>IT13</v>
      </c>
      <c r="D164" s="13" t="str">
        <f>IF(C164="","",Plan!D21)</f>
        <v>Praca poza planem</v>
      </c>
      <c r="E164" s="33">
        <f>IF(OR(C164="",Parametry!$G$6=""),"",DATE(Parametry!$G$6,12,1))</f>
        <v>46722</v>
      </c>
      <c r="F164" s="34">
        <f>IF(C164="","",Plan!V21)</f>
        <v>0</v>
      </c>
      <c r="G164" s="34">
        <f>IF(C164="","",SUMIFS(ERP!$I$9:$I$1008,ERP!$L$9:$L$1008,C164,ERP!$N$9:$N$1008,1,ERP!$M$9:$M$1008,12))</f>
        <v>0</v>
      </c>
      <c r="H164" s="34">
        <f>IF(C164="","",IF(12&lt;=Parametry!$G$7,0,SUMIFS(Umowy!$N$9:$N$108,Umowy!$D$9:$D$108,C164,Umowy!$O$9:$O$108,12)))</f>
        <v>0</v>
      </c>
      <c r="I164" s="34">
        <f>IF(C164="","",IF(12&lt;=Parametry!$G$7,0,IF(COUNTIFS(Prognoza!$C$9:$C$38,C164)=1,IF(ISBLANK(INDEX(Prognoza!$K$9:$V$38,MATCH($C164,Prognoza!$C$9:$C$38,0),12)),"",IF(ISNUMBER(INDEX(Prognoza!$K$9:$V$38,MATCH($C164,Prognoza!$C$9:$C$38,0),12)),INDEX(Prognoza!$K$9:$V$38,MATCH($C164,Prognoza!$C$9:$C$38,0),12),"")),"")))</f>
        <v>0</v>
      </c>
      <c r="J164" s="35">
        <f>IF(C164="","",IF(Plan!F21="Run",IF(ISNUMBER(INDEX(Parametry!$H$18:$S$18,1,12)),INDEX(Parametry!$H$18:$S$18,1,12),""),IF(ISNUMBER(INDEX(Parametry!$H$24:$S$24,1,12)),INDEX(Parametry!$H$24:$S$24,1,12),"")))</f>
        <v>0</v>
      </c>
      <c r="K164" s="34">
        <f>IF(C164="","",IF(12&lt;=Parametry!$G$7,0,IF(AND(ISNUMBER(I164),ISNUMBER(J164),J164&gt;=-1),I164*(1+J164),"")))</f>
        <v>0</v>
      </c>
      <c r="L164" s="34">
        <f>IF(C164="","",IF(12&lt;=Parametry!$G$7,G164,IF(ISNUMBER(K164),H164+K164,"")))</f>
        <v>0</v>
      </c>
      <c r="M164" s="22">
        <f t="shared" si="4"/>
        <v>0</v>
      </c>
      <c r="N164" s="7">
        <f t="shared" si="5"/>
        <v>0</v>
      </c>
      <c r="O164" s="7"/>
      <c r="P164" s="7"/>
    </row>
    <row r="165" spans="1:16" ht="24" customHeight="1">
      <c r="A165" s="7"/>
      <c r="B165" s="7"/>
      <c r="C165" s="13" t="str">
        <f>IF(Plan!C22="","",Plan!C22)</f>
        <v/>
      </c>
      <c r="D165" s="13" t="str">
        <f>IF(C165="","",Plan!D22)</f>
        <v/>
      </c>
      <c r="E165" s="33" t="str">
        <f>IF(OR(C165="",Parametry!$G$6=""),"",DATE(Parametry!$G$6,1,1))</f>
        <v/>
      </c>
      <c r="F165" s="34" t="str">
        <f>IF(C165="","",Plan!K22)</f>
        <v/>
      </c>
      <c r="G165" s="34" t="str">
        <f>IF(C165="","",SUMIFS(ERP!$I$9:$I$1008,ERP!$L$9:$L$1008,C165,ERP!$N$9:$N$1008,1,ERP!$M$9:$M$1008,1))</f>
        <v/>
      </c>
      <c r="H165" s="34" t="str">
        <f>IF(C165="","",IF(1&lt;=Parametry!$G$7,0,SUMIFS(Umowy!$N$9:$N$108,Umowy!$D$9:$D$108,C165,Umowy!$O$9:$O$108,1)))</f>
        <v/>
      </c>
      <c r="I165" s="34" t="str">
        <f>IF(C165="","",IF(1&lt;=Parametry!$G$7,0,IF(COUNTIFS(Prognoza!$C$9:$C$38,C165)=1,IF(ISBLANK(INDEX(Prognoza!$K$9:$V$38,MATCH($C165,Prognoza!$C$9:$C$38,0),1)),"",IF(ISNUMBER(INDEX(Prognoza!$K$9:$V$38,MATCH($C165,Prognoza!$C$9:$C$38,0),1)),INDEX(Prognoza!$K$9:$V$38,MATCH($C165,Prognoza!$C$9:$C$38,0),1),"")),"")))</f>
        <v/>
      </c>
      <c r="J165" s="35" t="str">
        <f>IF(C165="","",IF(Plan!F22="Run",IF(ISNUMBER(INDEX(Parametry!$H$18:$S$18,1,1)),INDEX(Parametry!$H$18:$S$18,1,1),""),IF(ISNUMBER(INDEX(Parametry!$H$24:$S$24,1,1)),INDEX(Parametry!$H$24:$S$24,1,1),"")))</f>
        <v/>
      </c>
      <c r="K165" s="34" t="str">
        <f>IF(C165="","",IF(1&lt;=Parametry!$G$7,0,IF(AND(ISNUMBER(I165),ISNUMBER(J165),J165&gt;=-1),I165*(1+J165),"")))</f>
        <v/>
      </c>
      <c r="L165" s="34" t="str">
        <f>IF(C165="","",IF(1&lt;=Parametry!$G$7,G165,IF(ISNUMBER(K165),H165+K165,"")))</f>
        <v/>
      </c>
      <c r="M165" s="22" t="str">
        <f t="shared" si="4"/>
        <v/>
      </c>
      <c r="N165" s="7">
        <f t="shared" si="5"/>
        <v>0</v>
      </c>
      <c r="O165" s="7"/>
      <c r="P165" s="7"/>
    </row>
    <row r="166" spans="1:16" ht="24" customHeight="1">
      <c r="A166" s="7"/>
      <c r="B166" s="7"/>
      <c r="C166" s="13" t="str">
        <f>IF(Plan!C22="","",Plan!C22)</f>
        <v/>
      </c>
      <c r="D166" s="13" t="str">
        <f>IF(C166="","",Plan!D22)</f>
        <v/>
      </c>
      <c r="E166" s="33" t="str">
        <f>IF(OR(C166="",Parametry!$G$6=""),"",DATE(Parametry!$G$6,2,1))</f>
        <v/>
      </c>
      <c r="F166" s="34" t="str">
        <f>IF(C166="","",Plan!L22)</f>
        <v/>
      </c>
      <c r="G166" s="34" t="str">
        <f>IF(C166="","",SUMIFS(ERP!$I$9:$I$1008,ERP!$L$9:$L$1008,C166,ERP!$N$9:$N$1008,1,ERP!$M$9:$M$1008,2))</f>
        <v/>
      </c>
      <c r="H166" s="34" t="str">
        <f>IF(C166="","",IF(2&lt;=Parametry!$G$7,0,SUMIFS(Umowy!$N$9:$N$108,Umowy!$D$9:$D$108,C166,Umowy!$O$9:$O$108,2)))</f>
        <v/>
      </c>
      <c r="I166" s="34" t="str">
        <f>IF(C166="","",IF(2&lt;=Parametry!$G$7,0,IF(COUNTIFS(Prognoza!$C$9:$C$38,C166)=1,IF(ISBLANK(INDEX(Prognoza!$K$9:$V$38,MATCH($C166,Prognoza!$C$9:$C$38,0),2)),"",IF(ISNUMBER(INDEX(Prognoza!$K$9:$V$38,MATCH($C166,Prognoza!$C$9:$C$38,0),2)),INDEX(Prognoza!$K$9:$V$38,MATCH($C166,Prognoza!$C$9:$C$38,0),2),"")),"")))</f>
        <v/>
      </c>
      <c r="J166" s="35" t="str">
        <f>IF(C166="","",IF(Plan!F22="Run",IF(ISNUMBER(INDEX(Parametry!$H$18:$S$18,1,2)),INDEX(Parametry!$H$18:$S$18,1,2),""),IF(ISNUMBER(INDEX(Parametry!$H$24:$S$24,1,2)),INDEX(Parametry!$H$24:$S$24,1,2),"")))</f>
        <v/>
      </c>
      <c r="K166" s="34" t="str">
        <f>IF(C166="","",IF(2&lt;=Parametry!$G$7,0,IF(AND(ISNUMBER(I166),ISNUMBER(J166),J166&gt;=-1),I166*(1+J166),"")))</f>
        <v/>
      </c>
      <c r="L166" s="34" t="str">
        <f>IF(C166="","",IF(2&lt;=Parametry!$G$7,G166,IF(ISNUMBER(K166),H166+K166,"")))</f>
        <v/>
      </c>
      <c r="M166" s="22" t="str">
        <f t="shared" si="4"/>
        <v/>
      </c>
      <c r="N166" s="7">
        <f t="shared" si="5"/>
        <v>0</v>
      </c>
      <c r="O166" s="7"/>
      <c r="P166" s="7"/>
    </row>
    <row r="167" spans="1:16" ht="24" customHeight="1">
      <c r="A167" s="7"/>
      <c r="B167" s="7"/>
      <c r="C167" s="13" t="str">
        <f>IF(Plan!C22="","",Plan!C22)</f>
        <v/>
      </c>
      <c r="D167" s="13" t="str">
        <f>IF(C167="","",Plan!D22)</f>
        <v/>
      </c>
      <c r="E167" s="33" t="str">
        <f>IF(OR(C167="",Parametry!$G$6=""),"",DATE(Parametry!$G$6,3,1))</f>
        <v/>
      </c>
      <c r="F167" s="34" t="str">
        <f>IF(C167="","",Plan!M22)</f>
        <v/>
      </c>
      <c r="G167" s="34" t="str">
        <f>IF(C167="","",SUMIFS(ERP!$I$9:$I$1008,ERP!$L$9:$L$1008,C167,ERP!$N$9:$N$1008,1,ERP!$M$9:$M$1008,3))</f>
        <v/>
      </c>
      <c r="H167" s="34" t="str">
        <f>IF(C167="","",IF(3&lt;=Parametry!$G$7,0,SUMIFS(Umowy!$N$9:$N$108,Umowy!$D$9:$D$108,C167,Umowy!$O$9:$O$108,3)))</f>
        <v/>
      </c>
      <c r="I167" s="34" t="str">
        <f>IF(C167="","",IF(3&lt;=Parametry!$G$7,0,IF(COUNTIFS(Prognoza!$C$9:$C$38,C167)=1,IF(ISBLANK(INDEX(Prognoza!$K$9:$V$38,MATCH($C167,Prognoza!$C$9:$C$38,0),3)),"",IF(ISNUMBER(INDEX(Prognoza!$K$9:$V$38,MATCH($C167,Prognoza!$C$9:$C$38,0),3)),INDEX(Prognoza!$K$9:$V$38,MATCH($C167,Prognoza!$C$9:$C$38,0),3),"")),"")))</f>
        <v/>
      </c>
      <c r="J167" s="35" t="str">
        <f>IF(C167="","",IF(Plan!F22="Run",IF(ISNUMBER(INDEX(Parametry!$H$18:$S$18,1,3)),INDEX(Parametry!$H$18:$S$18,1,3),""),IF(ISNUMBER(INDEX(Parametry!$H$24:$S$24,1,3)),INDEX(Parametry!$H$24:$S$24,1,3),"")))</f>
        <v/>
      </c>
      <c r="K167" s="34" t="str">
        <f>IF(C167="","",IF(3&lt;=Parametry!$G$7,0,IF(AND(ISNUMBER(I167),ISNUMBER(J167),J167&gt;=-1),I167*(1+J167),"")))</f>
        <v/>
      </c>
      <c r="L167" s="34" t="str">
        <f>IF(C167="","",IF(3&lt;=Parametry!$G$7,G167,IF(ISNUMBER(K167),H167+K167,"")))</f>
        <v/>
      </c>
      <c r="M167" s="22" t="str">
        <f t="shared" si="4"/>
        <v/>
      </c>
      <c r="N167" s="7">
        <f t="shared" si="5"/>
        <v>0</v>
      </c>
      <c r="O167" s="7"/>
      <c r="P167" s="7"/>
    </row>
    <row r="168" spans="1:16" ht="24" customHeight="1">
      <c r="A168" s="7"/>
      <c r="B168" s="7"/>
      <c r="C168" s="13" t="str">
        <f>IF(Plan!C22="","",Plan!C22)</f>
        <v/>
      </c>
      <c r="D168" s="13" t="str">
        <f>IF(C168="","",Plan!D22)</f>
        <v/>
      </c>
      <c r="E168" s="33" t="str">
        <f>IF(OR(C168="",Parametry!$G$6=""),"",DATE(Parametry!$G$6,4,1))</f>
        <v/>
      </c>
      <c r="F168" s="34" t="str">
        <f>IF(C168="","",Plan!N22)</f>
        <v/>
      </c>
      <c r="G168" s="34" t="str">
        <f>IF(C168="","",SUMIFS(ERP!$I$9:$I$1008,ERP!$L$9:$L$1008,C168,ERP!$N$9:$N$1008,1,ERP!$M$9:$M$1008,4))</f>
        <v/>
      </c>
      <c r="H168" s="34" t="str">
        <f>IF(C168="","",IF(4&lt;=Parametry!$G$7,0,SUMIFS(Umowy!$N$9:$N$108,Umowy!$D$9:$D$108,C168,Umowy!$O$9:$O$108,4)))</f>
        <v/>
      </c>
      <c r="I168" s="34" t="str">
        <f>IF(C168="","",IF(4&lt;=Parametry!$G$7,0,IF(COUNTIFS(Prognoza!$C$9:$C$38,C168)=1,IF(ISBLANK(INDEX(Prognoza!$K$9:$V$38,MATCH($C168,Prognoza!$C$9:$C$38,0),4)),"",IF(ISNUMBER(INDEX(Prognoza!$K$9:$V$38,MATCH($C168,Prognoza!$C$9:$C$38,0),4)),INDEX(Prognoza!$K$9:$V$38,MATCH($C168,Prognoza!$C$9:$C$38,0),4),"")),"")))</f>
        <v/>
      </c>
      <c r="J168" s="35" t="str">
        <f>IF(C168="","",IF(Plan!F22="Run",IF(ISNUMBER(INDEX(Parametry!$H$18:$S$18,1,4)),INDEX(Parametry!$H$18:$S$18,1,4),""),IF(ISNUMBER(INDEX(Parametry!$H$24:$S$24,1,4)),INDEX(Parametry!$H$24:$S$24,1,4),"")))</f>
        <v/>
      </c>
      <c r="K168" s="34" t="str">
        <f>IF(C168="","",IF(4&lt;=Parametry!$G$7,0,IF(AND(ISNUMBER(I168),ISNUMBER(J168),J168&gt;=-1),I168*(1+J168),"")))</f>
        <v/>
      </c>
      <c r="L168" s="34" t="str">
        <f>IF(C168="","",IF(4&lt;=Parametry!$G$7,G168,IF(ISNUMBER(K168),H168+K168,"")))</f>
        <v/>
      </c>
      <c r="M168" s="22" t="str">
        <f t="shared" si="4"/>
        <v/>
      </c>
      <c r="N168" s="7">
        <f t="shared" si="5"/>
        <v>0</v>
      </c>
      <c r="O168" s="7"/>
      <c r="P168" s="7"/>
    </row>
    <row r="169" spans="1:16" ht="24" customHeight="1">
      <c r="A169" s="7"/>
      <c r="B169" s="7"/>
      <c r="C169" s="13" t="str">
        <f>IF(Plan!C22="","",Plan!C22)</f>
        <v/>
      </c>
      <c r="D169" s="13" t="str">
        <f>IF(C169="","",Plan!D22)</f>
        <v/>
      </c>
      <c r="E169" s="33" t="str">
        <f>IF(OR(C169="",Parametry!$G$6=""),"",DATE(Parametry!$G$6,5,1))</f>
        <v/>
      </c>
      <c r="F169" s="34" t="str">
        <f>IF(C169="","",Plan!O22)</f>
        <v/>
      </c>
      <c r="G169" s="34" t="str">
        <f>IF(C169="","",SUMIFS(ERP!$I$9:$I$1008,ERP!$L$9:$L$1008,C169,ERP!$N$9:$N$1008,1,ERP!$M$9:$M$1008,5))</f>
        <v/>
      </c>
      <c r="H169" s="34" t="str">
        <f>IF(C169="","",IF(5&lt;=Parametry!$G$7,0,SUMIFS(Umowy!$N$9:$N$108,Umowy!$D$9:$D$108,C169,Umowy!$O$9:$O$108,5)))</f>
        <v/>
      </c>
      <c r="I169" s="34" t="str">
        <f>IF(C169="","",IF(5&lt;=Parametry!$G$7,0,IF(COUNTIFS(Prognoza!$C$9:$C$38,C169)=1,IF(ISBLANK(INDEX(Prognoza!$K$9:$V$38,MATCH($C169,Prognoza!$C$9:$C$38,0),5)),"",IF(ISNUMBER(INDEX(Prognoza!$K$9:$V$38,MATCH($C169,Prognoza!$C$9:$C$38,0),5)),INDEX(Prognoza!$K$9:$V$38,MATCH($C169,Prognoza!$C$9:$C$38,0),5),"")),"")))</f>
        <v/>
      </c>
      <c r="J169" s="35" t="str">
        <f>IF(C169="","",IF(Plan!F22="Run",IF(ISNUMBER(INDEX(Parametry!$H$18:$S$18,1,5)),INDEX(Parametry!$H$18:$S$18,1,5),""),IF(ISNUMBER(INDEX(Parametry!$H$24:$S$24,1,5)),INDEX(Parametry!$H$24:$S$24,1,5),"")))</f>
        <v/>
      </c>
      <c r="K169" s="34" t="str">
        <f>IF(C169="","",IF(5&lt;=Parametry!$G$7,0,IF(AND(ISNUMBER(I169),ISNUMBER(J169),J169&gt;=-1),I169*(1+J169),"")))</f>
        <v/>
      </c>
      <c r="L169" s="34" t="str">
        <f>IF(C169="","",IF(5&lt;=Parametry!$G$7,G169,IF(ISNUMBER(K169),H169+K169,"")))</f>
        <v/>
      </c>
      <c r="M169" s="22" t="str">
        <f t="shared" si="4"/>
        <v/>
      </c>
      <c r="N169" s="7">
        <f t="shared" si="5"/>
        <v>0</v>
      </c>
      <c r="O169" s="7"/>
      <c r="P169" s="7"/>
    </row>
    <row r="170" spans="1:16" ht="24" customHeight="1">
      <c r="A170" s="7"/>
      <c r="B170" s="7"/>
      <c r="C170" s="13" t="str">
        <f>IF(Plan!C22="","",Plan!C22)</f>
        <v/>
      </c>
      <c r="D170" s="13" t="str">
        <f>IF(C170="","",Plan!D22)</f>
        <v/>
      </c>
      <c r="E170" s="33" t="str">
        <f>IF(OR(C170="",Parametry!$G$6=""),"",DATE(Parametry!$G$6,6,1))</f>
        <v/>
      </c>
      <c r="F170" s="34" t="str">
        <f>IF(C170="","",Plan!P22)</f>
        <v/>
      </c>
      <c r="G170" s="34" t="str">
        <f>IF(C170="","",SUMIFS(ERP!$I$9:$I$1008,ERP!$L$9:$L$1008,C170,ERP!$N$9:$N$1008,1,ERP!$M$9:$M$1008,6))</f>
        <v/>
      </c>
      <c r="H170" s="34" t="str">
        <f>IF(C170="","",IF(6&lt;=Parametry!$G$7,0,SUMIFS(Umowy!$N$9:$N$108,Umowy!$D$9:$D$108,C170,Umowy!$O$9:$O$108,6)))</f>
        <v/>
      </c>
      <c r="I170" s="34" t="str">
        <f>IF(C170="","",IF(6&lt;=Parametry!$G$7,0,IF(COUNTIFS(Prognoza!$C$9:$C$38,C170)=1,IF(ISBLANK(INDEX(Prognoza!$K$9:$V$38,MATCH($C170,Prognoza!$C$9:$C$38,0),6)),"",IF(ISNUMBER(INDEX(Prognoza!$K$9:$V$38,MATCH($C170,Prognoza!$C$9:$C$38,0),6)),INDEX(Prognoza!$K$9:$V$38,MATCH($C170,Prognoza!$C$9:$C$38,0),6),"")),"")))</f>
        <v/>
      </c>
      <c r="J170" s="35" t="str">
        <f>IF(C170="","",IF(Plan!F22="Run",IF(ISNUMBER(INDEX(Parametry!$H$18:$S$18,1,6)),INDEX(Parametry!$H$18:$S$18,1,6),""),IF(ISNUMBER(INDEX(Parametry!$H$24:$S$24,1,6)),INDEX(Parametry!$H$24:$S$24,1,6),"")))</f>
        <v/>
      </c>
      <c r="K170" s="34" t="str">
        <f>IF(C170="","",IF(6&lt;=Parametry!$G$7,0,IF(AND(ISNUMBER(I170),ISNUMBER(J170),J170&gt;=-1),I170*(1+J170),"")))</f>
        <v/>
      </c>
      <c r="L170" s="34" t="str">
        <f>IF(C170="","",IF(6&lt;=Parametry!$G$7,G170,IF(ISNUMBER(K170),H170+K170,"")))</f>
        <v/>
      </c>
      <c r="M170" s="22" t="str">
        <f t="shared" si="4"/>
        <v/>
      </c>
      <c r="N170" s="7">
        <f t="shared" si="5"/>
        <v>0</v>
      </c>
      <c r="O170" s="7"/>
      <c r="P170" s="7"/>
    </row>
    <row r="171" spans="1:16" ht="24" customHeight="1">
      <c r="A171" s="7"/>
      <c r="B171" s="7"/>
      <c r="C171" s="13" t="str">
        <f>IF(Plan!C22="","",Plan!C22)</f>
        <v/>
      </c>
      <c r="D171" s="13" t="str">
        <f>IF(C171="","",Plan!D22)</f>
        <v/>
      </c>
      <c r="E171" s="33" t="str">
        <f>IF(OR(C171="",Parametry!$G$6=""),"",DATE(Parametry!$G$6,7,1))</f>
        <v/>
      </c>
      <c r="F171" s="34" t="str">
        <f>IF(C171="","",Plan!Q22)</f>
        <v/>
      </c>
      <c r="G171" s="34" t="str">
        <f>IF(C171="","",SUMIFS(ERP!$I$9:$I$1008,ERP!$L$9:$L$1008,C171,ERP!$N$9:$N$1008,1,ERP!$M$9:$M$1008,7))</f>
        <v/>
      </c>
      <c r="H171" s="34" t="str">
        <f>IF(C171="","",IF(7&lt;=Parametry!$G$7,0,SUMIFS(Umowy!$N$9:$N$108,Umowy!$D$9:$D$108,C171,Umowy!$O$9:$O$108,7)))</f>
        <v/>
      </c>
      <c r="I171" s="34" t="str">
        <f>IF(C171="","",IF(7&lt;=Parametry!$G$7,0,IF(COUNTIFS(Prognoza!$C$9:$C$38,C171)=1,IF(ISBLANK(INDEX(Prognoza!$K$9:$V$38,MATCH($C171,Prognoza!$C$9:$C$38,0),7)),"",IF(ISNUMBER(INDEX(Prognoza!$K$9:$V$38,MATCH($C171,Prognoza!$C$9:$C$38,0),7)),INDEX(Prognoza!$K$9:$V$38,MATCH($C171,Prognoza!$C$9:$C$38,0),7),"")),"")))</f>
        <v/>
      </c>
      <c r="J171" s="35" t="str">
        <f>IF(C171="","",IF(Plan!F22="Run",IF(ISNUMBER(INDEX(Parametry!$H$18:$S$18,1,7)),INDEX(Parametry!$H$18:$S$18,1,7),""),IF(ISNUMBER(INDEX(Parametry!$H$24:$S$24,1,7)),INDEX(Parametry!$H$24:$S$24,1,7),"")))</f>
        <v/>
      </c>
      <c r="K171" s="34" t="str">
        <f>IF(C171="","",IF(7&lt;=Parametry!$G$7,0,IF(AND(ISNUMBER(I171),ISNUMBER(J171),J171&gt;=-1),I171*(1+J171),"")))</f>
        <v/>
      </c>
      <c r="L171" s="34" t="str">
        <f>IF(C171="","",IF(7&lt;=Parametry!$G$7,G171,IF(ISNUMBER(K171),H171+K171,"")))</f>
        <v/>
      </c>
      <c r="M171" s="22" t="str">
        <f t="shared" si="4"/>
        <v/>
      </c>
      <c r="N171" s="7">
        <f t="shared" si="5"/>
        <v>0</v>
      </c>
      <c r="O171" s="7"/>
      <c r="P171" s="7"/>
    </row>
    <row r="172" spans="1:16" ht="24" customHeight="1">
      <c r="A172" s="7"/>
      <c r="B172" s="7"/>
      <c r="C172" s="13" t="str">
        <f>IF(Plan!C22="","",Plan!C22)</f>
        <v/>
      </c>
      <c r="D172" s="13" t="str">
        <f>IF(C172="","",Plan!D22)</f>
        <v/>
      </c>
      <c r="E172" s="33" t="str">
        <f>IF(OR(C172="",Parametry!$G$6=""),"",DATE(Parametry!$G$6,8,1))</f>
        <v/>
      </c>
      <c r="F172" s="34" t="str">
        <f>IF(C172="","",Plan!R22)</f>
        <v/>
      </c>
      <c r="G172" s="34" t="str">
        <f>IF(C172="","",SUMIFS(ERP!$I$9:$I$1008,ERP!$L$9:$L$1008,C172,ERP!$N$9:$N$1008,1,ERP!$M$9:$M$1008,8))</f>
        <v/>
      </c>
      <c r="H172" s="34" t="str">
        <f>IF(C172="","",IF(8&lt;=Parametry!$G$7,0,SUMIFS(Umowy!$N$9:$N$108,Umowy!$D$9:$D$108,C172,Umowy!$O$9:$O$108,8)))</f>
        <v/>
      </c>
      <c r="I172" s="34" t="str">
        <f>IF(C172="","",IF(8&lt;=Parametry!$G$7,0,IF(COUNTIFS(Prognoza!$C$9:$C$38,C172)=1,IF(ISBLANK(INDEX(Prognoza!$K$9:$V$38,MATCH($C172,Prognoza!$C$9:$C$38,0),8)),"",IF(ISNUMBER(INDEX(Prognoza!$K$9:$V$38,MATCH($C172,Prognoza!$C$9:$C$38,0),8)),INDEX(Prognoza!$K$9:$V$38,MATCH($C172,Prognoza!$C$9:$C$38,0),8),"")),"")))</f>
        <v/>
      </c>
      <c r="J172" s="35" t="str">
        <f>IF(C172="","",IF(Plan!F22="Run",IF(ISNUMBER(INDEX(Parametry!$H$18:$S$18,1,8)),INDEX(Parametry!$H$18:$S$18,1,8),""),IF(ISNUMBER(INDEX(Parametry!$H$24:$S$24,1,8)),INDEX(Parametry!$H$24:$S$24,1,8),"")))</f>
        <v/>
      </c>
      <c r="K172" s="34" t="str">
        <f>IF(C172="","",IF(8&lt;=Parametry!$G$7,0,IF(AND(ISNUMBER(I172),ISNUMBER(J172),J172&gt;=-1),I172*(1+J172),"")))</f>
        <v/>
      </c>
      <c r="L172" s="34" t="str">
        <f>IF(C172="","",IF(8&lt;=Parametry!$G$7,G172,IF(ISNUMBER(K172),H172+K172,"")))</f>
        <v/>
      </c>
      <c r="M172" s="22" t="str">
        <f t="shared" si="4"/>
        <v/>
      </c>
      <c r="N172" s="7">
        <f t="shared" si="5"/>
        <v>0</v>
      </c>
      <c r="O172" s="7"/>
      <c r="P172" s="7"/>
    </row>
    <row r="173" spans="1:16" ht="24" customHeight="1">
      <c r="A173" s="7"/>
      <c r="B173" s="7"/>
      <c r="C173" s="13" t="str">
        <f>IF(Plan!C22="","",Plan!C22)</f>
        <v/>
      </c>
      <c r="D173" s="13" t="str">
        <f>IF(C173="","",Plan!D22)</f>
        <v/>
      </c>
      <c r="E173" s="33" t="str">
        <f>IF(OR(C173="",Parametry!$G$6=""),"",DATE(Parametry!$G$6,9,1))</f>
        <v/>
      </c>
      <c r="F173" s="34" t="str">
        <f>IF(C173="","",Plan!S22)</f>
        <v/>
      </c>
      <c r="G173" s="34" t="str">
        <f>IF(C173="","",SUMIFS(ERP!$I$9:$I$1008,ERP!$L$9:$L$1008,C173,ERP!$N$9:$N$1008,1,ERP!$M$9:$M$1008,9))</f>
        <v/>
      </c>
      <c r="H173" s="34" t="str">
        <f>IF(C173="","",IF(9&lt;=Parametry!$G$7,0,SUMIFS(Umowy!$N$9:$N$108,Umowy!$D$9:$D$108,C173,Umowy!$O$9:$O$108,9)))</f>
        <v/>
      </c>
      <c r="I173" s="34" t="str">
        <f>IF(C173="","",IF(9&lt;=Parametry!$G$7,0,IF(COUNTIFS(Prognoza!$C$9:$C$38,C173)=1,IF(ISBLANK(INDEX(Prognoza!$K$9:$V$38,MATCH($C173,Prognoza!$C$9:$C$38,0),9)),"",IF(ISNUMBER(INDEX(Prognoza!$K$9:$V$38,MATCH($C173,Prognoza!$C$9:$C$38,0),9)),INDEX(Prognoza!$K$9:$V$38,MATCH($C173,Prognoza!$C$9:$C$38,0),9),"")),"")))</f>
        <v/>
      </c>
      <c r="J173" s="35" t="str">
        <f>IF(C173="","",IF(Plan!F22="Run",IF(ISNUMBER(INDEX(Parametry!$H$18:$S$18,1,9)),INDEX(Parametry!$H$18:$S$18,1,9),""),IF(ISNUMBER(INDEX(Parametry!$H$24:$S$24,1,9)),INDEX(Parametry!$H$24:$S$24,1,9),"")))</f>
        <v/>
      </c>
      <c r="K173" s="34" t="str">
        <f>IF(C173="","",IF(9&lt;=Parametry!$G$7,0,IF(AND(ISNUMBER(I173),ISNUMBER(J173),J173&gt;=-1),I173*(1+J173),"")))</f>
        <v/>
      </c>
      <c r="L173" s="34" t="str">
        <f>IF(C173="","",IF(9&lt;=Parametry!$G$7,G173,IF(ISNUMBER(K173),H173+K173,"")))</f>
        <v/>
      </c>
      <c r="M173" s="22" t="str">
        <f t="shared" si="4"/>
        <v/>
      </c>
      <c r="N173" s="7">
        <f t="shared" si="5"/>
        <v>0</v>
      </c>
      <c r="O173" s="7"/>
      <c r="P173" s="7"/>
    </row>
    <row r="174" spans="1:16" ht="24" customHeight="1">
      <c r="A174" s="7"/>
      <c r="B174" s="7"/>
      <c r="C174" s="13" t="str">
        <f>IF(Plan!C22="","",Plan!C22)</f>
        <v/>
      </c>
      <c r="D174" s="13" t="str">
        <f>IF(C174="","",Plan!D22)</f>
        <v/>
      </c>
      <c r="E174" s="33" t="str">
        <f>IF(OR(C174="",Parametry!$G$6=""),"",DATE(Parametry!$G$6,10,1))</f>
        <v/>
      </c>
      <c r="F174" s="34" t="str">
        <f>IF(C174="","",Plan!T22)</f>
        <v/>
      </c>
      <c r="G174" s="34" t="str">
        <f>IF(C174="","",SUMIFS(ERP!$I$9:$I$1008,ERP!$L$9:$L$1008,C174,ERP!$N$9:$N$1008,1,ERP!$M$9:$M$1008,10))</f>
        <v/>
      </c>
      <c r="H174" s="34" t="str">
        <f>IF(C174="","",IF(10&lt;=Parametry!$G$7,0,SUMIFS(Umowy!$N$9:$N$108,Umowy!$D$9:$D$108,C174,Umowy!$O$9:$O$108,10)))</f>
        <v/>
      </c>
      <c r="I174" s="34" t="str">
        <f>IF(C174="","",IF(10&lt;=Parametry!$G$7,0,IF(COUNTIFS(Prognoza!$C$9:$C$38,C174)=1,IF(ISBLANK(INDEX(Prognoza!$K$9:$V$38,MATCH($C174,Prognoza!$C$9:$C$38,0),10)),"",IF(ISNUMBER(INDEX(Prognoza!$K$9:$V$38,MATCH($C174,Prognoza!$C$9:$C$38,0),10)),INDEX(Prognoza!$K$9:$V$38,MATCH($C174,Prognoza!$C$9:$C$38,0),10),"")),"")))</f>
        <v/>
      </c>
      <c r="J174" s="35" t="str">
        <f>IF(C174="","",IF(Plan!F22="Run",IF(ISNUMBER(INDEX(Parametry!$H$18:$S$18,1,10)),INDEX(Parametry!$H$18:$S$18,1,10),""),IF(ISNUMBER(INDEX(Parametry!$H$24:$S$24,1,10)),INDEX(Parametry!$H$24:$S$24,1,10),"")))</f>
        <v/>
      </c>
      <c r="K174" s="34" t="str">
        <f>IF(C174="","",IF(10&lt;=Parametry!$G$7,0,IF(AND(ISNUMBER(I174),ISNUMBER(J174),J174&gt;=-1),I174*(1+J174),"")))</f>
        <v/>
      </c>
      <c r="L174" s="34" t="str">
        <f>IF(C174="","",IF(10&lt;=Parametry!$G$7,G174,IF(ISNUMBER(K174),H174+K174,"")))</f>
        <v/>
      </c>
      <c r="M174" s="22" t="str">
        <f t="shared" si="4"/>
        <v/>
      </c>
      <c r="N174" s="7">
        <f t="shared" si="5"/>
        <v>0</v>
      </c>
      <c r="O174" s="7"/>
      <c r="P174" s="7"/>
    </row>
    <row r="175" spans="1:16" ht="24" customHeight="1">
      <c r="A175" s="7"/>
      <c r="B175" s="7"/>
      <c r="C175" s="13" t="str">
        <f>IF(Plan!C22="","",Plan!C22)</f>
        <v/>
      </c>
      <c r="D175" s="13" t="str">
        <f>IF(C175="","",Plan!D22)</f>
        <v/>
      </c>
      <c r="E175" s="33" t="str">
        <f>IF(OR(C175="",Parametry!$G$6=""),"",DATE(Parametry!$G$6,11,1))</f>
        <v/>
      </c>
      <c r="F175" s="34" t="str">
        <f>IF(C175="","",Plan!U22)</f>
        <v/>
      </c>
      <c r="G175" s="34" t="str">
        <f>IF(C175="","",SUMIFS(ERP!$I$9:$I$1008,ERP!$L$9:$L$1008,C175,ERP!$N$9:$N$1008,1,ERP!$M$9:$M$1008,11))</f>
        <v/>
      </c>
      <c r="H175" s="34" t="str">
        <f>IF(C175="","",IF(11&lt;=Parametry!$G$7,0,SUMIFS(Umowy!$N$9:$N$108,Umowy!$D$9:$D$108,C175,Umowy!$O$9:$O$108,11)))</f>
        <v/>
      </c>
      <c r="I175" s="34" t="str">
        <f>IF(C175="","",IF(11&lt;=Parametry!$G$7,0,IF(COUNTIFS(Prognoza!$C$9:$C$38,C175)=1,IF(ISBLANK(INDEX(Prognoza!$K$9:$V$38,MATCH($C175,Prognoza!$C$9:$C$38,0),11)),"",IF(ISNUMBER(INDEX(Prognoza!$K$9:$V$38,MATCH($C175,Prognoza!$C$9:$C$38,0),11)),INDEX(Prognoza!$K$9:$V$38,MATCH($C175,Prognoza!$C$9:$C$38,0),11),"")),"")))</f>
        <v/>
      </c>
      <c r="J175" s="35" t="str">
        <f>IF(C175="","",IF(Plan!F22="Run",IF(ISNUMBER(INDEX(Parametry!$H$18:$S$18,1,11)),INDEX(Parametry!$H$18:$S$18,1,11),""),IF(ISNUMBER(INDEX(Parametry!$H$24:$S$24,1,11)),INDEX(Parametry!$H$24:$S$24,1,11),"")))</f>
        <v/>
      </c>
      <c r="K175" s="34" t="str">
        <f>IF(C175="","",IF(11&lt;=Parametry!$G$7,0,IF(AND(ISNUMBER(I175),ISNUMBER(J175),J175&gt;=-1),I175*(1+J175),"")))</f>
        <v/>
      </c>
      <c r="L175" s="34" t="str">
        <f>IF(C175="","",IF(11&lt;=Parametry!$G$7,G175,IF(ISNUMBER(K175),H175+K175,"")))</f>
        <v/>
      </c>
      <c r="M175" s="22" t="str">
        <f t="shared" si="4"/>
        <v/>
      </c>
      <c r="N175" s="7">
        <f t="shared" si="5"/>
        <v>0</v>
      </c>
      <c r="O175" s="7"/>
      <c r="P175" s="7"/>
    </row>
    <row r="176" spans="1:16" ht="24" customHeight="1">
      <c r="A176" s="7"/>
      <c r="B176" s="7"/>
      <c r="C176" s="13" t="str">
        <f>IF(Plan!C22="","",Plan!C22)</f>
        <v/>
      </c>
      <c r="D176" s="13" t="str">
        <f>IF(C176="","",Plan!D22)</f>
        <v/>
      </c>
      <c r="E176" s="33" t="str">
        <f>IF(OR(C176="",Parametry!$G$6=""),"",DATE(Parametry!$G$6,12,1))</f>
        <v/>
      </c>
      <c r="F176" s="34" t="str">
        <f>IF(C176="","",Plan!V22)</f>
        <v/>
      </c>
      <c r="G176" s="34" t="str">
        <f>IF(C176="","",SUMIFS(ERP!$I$9:$I$1008,ERP!$L$9:$L$1008,C176,ERP!$N$9:$N$1008,1,ERP!$M$9:$M$1008,12))</f>
        <v/>
      </c>
      <c r="H176" s="34" t="str">
        <f>IF(C176="","",IF(12&lt;=Parametry!$G$7,0,SUMIFS(Umowy!$N$9:$N$108,Umowy!$D$9:$D$108,C176,Umowy!$O$9:$O$108,12)))</f>
        <v/>
      </c>
      <c r="I176" s="34" t="str">
        <f>IF(C176="","",IF(12&lt;=Parametry!$G$7,0,IF(COUNTIFS(Prognoza!$C$9:$C$38,C176)=1,IF(ISBLANK(INDEX(Prognoza!$K$9:$V$38,MATCH($C176,Prognoza!$C$9:$C$38,0),12)),"",IF(ISNUMBER(INDEX(Prognoza!$K$9:$V$38,MATCH($C176,Prognoza!$C$9:$C$38,0),12)),INDEX(Prognoza!$K$9:$V$38,MATCH($C176,Prognoza!$C$9:$C$38,0),12),"")),"")))</f>
        <v/>
      </c>
      <c r="J176" s="35" t="str">
        <f>IF(C176="","",IF(Plan!F22="Run",IF(ISNUMBER(INDEX(Parametry!$H$18:$S$18,1,12)),INDEX(Parametry!$H$18:$S$18,1,12),""),IF(ISNUMBER(INDEX(Parametry!$H$24:$S$24,1,12)),INDEX(Parametry!$H$24:$S$24,1,12),"")))</f>
        <v/>
      </c>
      <c r="K176" s="34" t="str">
        <f>IF(C176="","",IF(12&lt;=Parametry!$G$7,0,IF(AND(ISNUMBER(I176),ISNUMBER(J176),J176&gt;=-1),I176*(1+J176),"")))</f>
        <v/>
      </c>
      <c r="L176" s="34" t="str">
        <f>IF(C176="","",IF(12&lt;=Parametry!$G$7,G176,IF(ISNUMBER(K176),H176+K176,"")))</f>
        <v/>
      </c>
      <c r="M176" s="22" t="str">
        <f t="shared" si="4"/>
        <v/>
      </c>
      <c r="N176" s="7">
        <f t="shared" si="5"/>
        <v>0</v>
      </c>
      <c r="O176" s="7"/>
      <c r="P176" s="7"/>
    </row>
    <row r="177" spans="1:16" ht="24" customHeight="1">
      <c r="A177" s="7"/>
      <c r="B177" s="7"/>
      <c r="C177" s="13" t="str">
        <f>IF(Plan!C23="","",Plan!C23)</f>
        <v/>
      </c>
      <c r="D177" s="13" t="str">
        <f>IF(C177="","",Plan!D23)</f>
        <v/>
      </c>
      <c r="E177" s="33" t="str">
        <f>IF(OR(C177="",Parametry!$G$6=""),"",DATE(Parametry!$G$6,1,1))</f>
        <v/>
      </c>
      <c r="F177" s="34" t="str">
        <f>IF(C177="","",Plan!K23)</f>
        <v/>
      </c>
      <c r="G177" s="34" t="str">
        <f>IF(C177="","",SUMIFS(ERP!$I$9:$I$1008,ERP!$L$9:$L$1008,C177,ERP!$N$9:$N$1008,1,ERP!$M$9:$M$1008,1))</f>
        <v/>
      </c>
      <c r="H177" s="34" t="str">
        <f>IF(C177="","",IF(1&lt;=Parametry!$G$7,0,SUMIFS(Umowy!$N$9:$N$108,Umowy!$D$9:$D$108,C177,Umowy!$O$9:$O$108,1)))</f>
        <v/>
      </c>
      <c r="I177" s="34" t="str">
        <f>IF(C177="","",IF(1&lt;=Parametry!$G$7,0,IF(COUNTIFS(Prognoza!$C$9:$C$38,C177)=1,IF(ISBLANK(INDEX(Prognoza!$K$9:$V$38,MATCH($C177,Prognoza!$C$9:$C$38,0),1)),"",IF(ISNUMBER(INDEX(Prognoza!$K$9:$V$38,MATCH($C177,Prognoza!$C$9:$C$38,0),1)),INDEX(Prognoza!$K$9:$V$38,MATCH($C177,Prognoza!$C$9:$C$38,0),1),"")),"")))</f>
        <v/>
      </c>
      <c r="J177" s="35" t="str">
        <f>IF(C177="","",IF(Plan!F23="Run",IF(ISNUMBER(INDEX(Parametry!$H$18:$S$18,1,1)),INDEX(Parametry!$H$18:$S$18,1,1),""),IF(ISNUMBER(INDEX(Parametry!$H$24:$S$24,1,1)),INDEX(Parametry!$H$24:$S$24,1,1),"")))</f>
        <v/>
      </c>
      <c r="K177" s="34" t="str">
        <f>IF(C177="","",IF(1&lt;=Parametry!$G$7,0,IF(AND(ISNUMBER(I177),ISNUMBER(J177),J177&gt;=-1),I177*(1+J177),"")))</f>
        <v/>
      </c>
      <c r="L177" s="34" t="str">
        <f>IF(C177="","",IF(1&lt;=Parametry!$G$7,G177,IF(ISNUMBER(K177),H177+K177,"")))</f>
        <v/>
      </c>
      <c r="M177" s="22" t="str">
        <f t="shared" si="4"/>
        <v/>
      </c>
      <c r="N177" s="7">
        <f t="shared" si="5"/>
        <v>0</v>
      </c>
      <c r="O177" s="7"/>
      <c r="P177" s="7"/>
    </row>
    <row r="178" spans="1:16" ht="24" customHeight="1">
      <c r="A178" s="7"/>
      <c r="B178" s="7"/>
      <c r="C178" s="13" t="str">
        <f>IF(Plan!C23="","",Plan!C23)</f>
        <v/>
      </c>
      <c r="D178" s="13" t="str">
        <f>IF(C178="","",Plan!D23)</f>
        <v/>
      </c>
      <c r="E178" s="33" t="str">
        <f>IF(OR(C178="",Parametry!$G$6=""),"",DATE(Parametry!$G$6,2,1))</f>
        <v/>
      </c>
      <c r="F178" s="34" t="str">
        <f>IF(C178="","",Plan!L23)</f>
        <v/>
      </c>
      <c r="G178" s="34" t="str">
        <f>IF(C178="","",SUMIFS(ERP!$I$9:$I$1008,ERP!$L$9:$L$1008,C178,ERP!$N$9:$N$1008,1,ERP!$M$9:$M$1008,2))</f>
        <v/>
      </c>
      <c r="H178" s="34" t="str">
        <f>IF(C178="","",IF(2&lt;=Parametry!$G$7,0,SUMIFS(Umowy!$N$9:$N$108,Umowy!$D$9:$D$108,C178,Umowy!$O$9:$O$108,2)))</f>
        <v/>
      </c>
      <c r="I178" s="34" t="str">
        <f>IF(C178="","",IF(2&lt;=Parametry!$G$7,0,IF(COUNTIFS(Prognoza!$C$9:$C$38,C178)=1,IF(ISBLANK(INDEX(Prognoza!$K$9:$V$38,MATCH($C178,Prognoza!$C$9:$C$38,0),2)),"",IF(ISNUMBER(INDEX(Prognoza!$K$9:$V$38,MATCH($C178,Prognoza!$C$9:$C$38,0),2)),INDEX(Prognoza!$K$9:$V$38,MATCH($C178,Prognoza!$C$9:$C$38,0),2),"")),"")))</f>
        <v/>
      </c>
      <c r="J178" s="35" t="str">
        <f>IF(C178="","",IF(Plan!F23="Run",IF(ISNUMBER(INDEX(Parametry!$H$18:$S$18,1,2)),INDEX(Parametry!$H$18:$S$18,1,2),""),IF(ISNUMBER(INDEX(Parametry!$H$24:$S$24,1,2)),INDEX(Parametry!$H$24:$S$24,1,2),"")))</f>
        <v/>
      </c>
      <c r="K178" s="34" t="str">
        <f>IF(C178="","",IF(2&lt;=Parametry!$G$7,0,IF(AND(ISNUMBER(I178),ISNUMBER(J178),J178&gt;=-1),I178*(1+J178),"")))</f>
        <v/>
      </c>
      <c r="L178" s="34" t="str">
        <f>IF(C178="","",IF(2&lt;=Parametry!$G$7,G178,IF(ISNUMBER(K178),H178+K178,"")))</f>
        <v/>
      </c>
      <c r="M178" s="22" t="str">
        <f t="shared" si="4"/>
        <v/>
      </c>
      <c r="N178" s="7">
        <f t="shared" si="5"/>
        <v>0</v>
      </c>
      <c r="O178" s="7"/>
      <c r="P178" s="7"/>
    </row>
    <row r="179" spans="1:16" ht="24" customHeight="1">
      <c r="A179" s="7"/>
      <c r="B179" s="7"/>
      <c r="C179" s="13" t="str">
        <f>IF(Plan!C23="","",Plan!C23)</f>
        <v/>
      </c>
      <c r="D179" s="13" t="str">
        <f>IF(C179="","",Plan!D23)</f>
        <v/>
      </c>
      <c r="E179" s="33" t="str">
        <f>IF(OR(C179="",Parametry!$G$6=""),"",DATE(Parametry!$G$6,3,1))</f>
        <v/>
      </c>
      <c r="F179" s="34" t="str">
        <f>IF(C179="","",Plan!M23)</f>
        <v/>
      </c>
      <c r="G179" s="34" t="str">
        <f>IF(C179="","",SUMIFS(ERP!$I$9:$I$1008,ERP!$L$9:$L$1008,C179,ERP!$N$9:$N$1008,1,ERP!$M$9:$M$1008,3))</f>
        <v/>
      </c>
      <c r="H179" s="34" t="str">
        <f>IF(C179="","",IF(3&lt;=Parametry!$G$7,0,SUMIFS(Umowy!$N$9:$N$108,Umowy!$D$9:$D$108,C179,Umowy!$O$9:$O$108,3)))</f>
        <v/>
      </c>
      <c r="I179" s="34" t="str">
        <f>IF(C179="","",IF(3&lt;=Parametry!$G$7,0,IF(COUNTIFS(Prognoza!$C$9:$C$38,C179)=1,IF(ISBLANK(INDEX(Prognoza!$K$9:$V$38,MATCH($C179,Prognoza!$C$9:$C$38,0),3)),"",IF(ISNUMBER(INDEX(Prognoza!$K$9:$V$38,MATCH($C179,Prognoza!$C$9:$C$38,0),3)),INDEX(Prognoza!$K$9:$V$38,MATCH($C179,Prognoza!$C$9:$C$38,0),3),"")),"")))</f>
        <v/>
      </c>
      <c r="J179" s="35" t="str">
        <f>IF(C179="","",IF(Plan!F23="Run",IF(ISNUMBER(INDEX(Parametry!$H$18:$S$18,1,3)),INDEX(Parametry!$H$18:$S$18,1,3),""),IF(ISNUMBER(INDEX(Parametry!$H$24:$S$24,1,3)),INDEX(Parametry!$H$24:$S$24,1,3),"")))</f>
        <v/>
      </c>
      <c r="K179" s="34" t="str">
        <f>IF(C179="","",IF(3&lt;=Parametry!$G$7,0,IF(AND(ISNUMBER(I179),ISNUMBER(J179),J179&gt;=-1),I179*(1+J179),"")))</f>
        <v/>
      </c>
      <c r="L179" s="34" t="str">
        <f>IF(C179="","",IF(3&lt;=Parametry!$G$7,G179,IF(ISNUMBER(K179),H179+K179,"")))</f>
        <v/>
      </c>
      <c r="M179" s="22" t="str">
        <f t="shared" si="4"/>
        <v/>
      </c>
      <c r="N179" s="7">
        <f t="shared" si="5"/>
        <v>0</v>
      </c>
      <c r="O179" s="7"/>
      <c r="P179" s="7"/>
    </row>
    <row r="180" spans="1:16" ht="24" customHeight="1">
      <c r="A180" s="7"/>
      <c r="B180" s="7"/>
      <c r="C180" s="13" t="str">
        <f>IF(Plan!C23="","",Plan!C23)</f>
        <v/>
      </c>
      <c r="D180" s="13" t="str">
        <f>IF(C180="","",Plan!D23)</f>
        <v/>
      </c>
      <c r="E180" s="33" t="str">
        <f>IF(OR(C180="",Parametry!$G$6=""),"",DATE(Parametry!$G$6,4,1))</f>
        <v/>
      </c>
      <c r="F180" s="34" t="str">
        <f>IF(C180="","",Plan!N23)</f>
        <v/>
      </c>
      <c r="G180" s="34" t="str">
        <f>IF(C180="","",SUMIFS(ERP!$I$9:$I$1008,ERP!$L$9:$L$1008,C180,ERP!$N$9:$N$1008,1,ERP!$M$9:$M$1008,4))</f>
        <v/>
      </c>
      <c r="H180" s="34" t="str">
        <f>IF(C180="","",IF(4&lt;=Parametry!$G$7,0,SUMIFS(Umowy!$N$9:$N$108,Umowy!$D$9:$D$108,C180,Umowy!$O$9:$O$108,4)))</f>
        <v/>
      </c>
      <c r="I180" s="34" t="str">
        <f>IF(C180="","",IF(4&lt;=Parametry!$G$7,0,IF(COUNTIFS(Prognoza!$C$9:$C$38,C180)=1,IF(ISBLANK(INDEX(Prognoza!$K$9:$V$38,MATCH($C180,Prognoza!$C$9:$C$38,0),4)),"",IF(ISNUMBER(INDEX(Prognoza!$K$9:$V$38,MATCH($C180,Prognoza!$C$9:$C$38,0),4)),INDEX(Prognoza!$K$9:$V$38,MATCH($C180,Prognoza!$C$9:$C$38,0),4),"")),"")))</f>
        <v/>
      </c>
      <c r="J180" s="35" t="str">
        <f>IF(C180="","",IF(Plan!F23="Run",IF(ISNUMBER(INDEX(Parametry!$H$18:$S$18,1,4)),INDEX(Parametry!$H$18:$S$18,1,4),""),IF(ISNUMBER(INDEX(Parametry!$H$24:$S$24,1,4)),INDEX(Parametry!$H$24:$S$24,1,4),"")))</f>
        <v/>
      </c>
      <c r="K180" s="34" t="str">
        <f>IF(C180="","",IF(4&lt;=Parametry!$G$7,0,IF(AND(ISNUMBER(I180),ISNUMBER(J180),J180&gt;=-1),I180*(1+J180),"")))</f>
        <v/>
      </c>
      <c r="L180" s="34" t="str">
        <f>IF(C180="","",IF(4&lt;=Parametry!$G$7,G180,IF(ISNUMBER(K180),H180+K180,"")))</f>
        <v/>
      </c>
      <c r="M180" s="22" t="str">
        <f t="shared" si="4"/>
        <v/>
      </c>
      <c r="N180" s="7">
        <f t="shared" si="5"/>
        <v>0</v>
      </c>
      <c r="O180" s="7"/>
      <c r="P180" s="7"/>
    </row>
    <row r="181" spans="1:16" ht="24" customHeight="1">
      <c r="A181" s="7"/>
      <c r="B181" s="7"/>
      <c r="C181" s="13" t="str">
        <f>IF(Plan!C23="","",Plan!C23)</f>
        <v/>
      </c>
      <c r="D181" s="13" t="str">
        <f>IF(C181="","",Plan!D23)</f>
        <v/>
      </c>
      <c r="E181" s="33" t="str">
        <f>IF(OR(C181="",Parametry!$G$6=""),"",DATE(Parametry!$G$6,5,1))</f>
        <v/>
      </c>
      <c r="F181" s="34" t="str">
        <f>IF(C181="","",Plan!O23)</f>
        <v/>
      </c>
      <c r="G181" s="34" t="str">
        <f>IF(C181="","",SUMIFS(ERP!$I$9:$I$1008,ERP!$L$9:$L$1008,C181,ERP!$N$9:$N$1008,1,ERP!$M$9:$M$1008,5))</f>
        <v/>
      </c>
      <c r="H181" s="34" t="str">
        <f>IF(C181="","",IF(5&lt;=Parametry!$G$7,0,SUMIFS(Umowy!$N$9:$N$108,Umowy!$D$9:$D$108,C181,Umowy!$O$9:$O$108,5)))</f>
        <v/>
      </c>
      <c r="I181" s="34" t="str">
        <f>IF(C181="","",IF(5&lt;=Parametry!$G$7,0,IF(COUNTIFS(Prognoza!$C$9:$C$38,C181)=1,IF(ISBLANK(INDEX(Prognoza!$K$9:$V$38,MATCH($C181,Prognoza!$C$9:$C$38,0),5)),"",IF(ISNUMBER(INDEX(Prognoza!$K$9:$V$38,MATCH($C181,Prognoza!$C$9:$C$38,0),5)),INDEX(Prognoza!$K$9:$V$38,MATCH($C181,Prognoza!$C$9:$C$38,0),5),"")),"")))</f>
        <v/>
      </c>
      <c r="J181" s="35" t="str">
        <f>IF(C181="","",IF(Plan!F23="Run",IF(ISNUMBER(INDEX(Parametry!$H$18:$S$18,1,5)),INDEX(Parametry!$H$18:$S$18,1,5),""),IF(ISNUMBER(INDEX(Parametry!$H$24:$S$24,1,5)),INDEX(Parametry!$H$24:$S$24,1,5),"")))</f>
        <v/>
      </c>
      <c r="K181" s="34" t="str">
        <f>IF(C181="","",IF(5&lt;=Parametry!$G$7,0,IF(AND(ISNUMBER(I181),ISNUMBER(J181),J181&gt;=-1),I181*(1+J181),"")))</f>
        <v/>
      </c>
      <c r="L181" s="34" t="str">
        <f>IF(C181="","",IF(5&lt;=Parametry!$G$7,G181,IF(ISNUMBER(K181),H181+K181,"")))</f>
        <v/>
      </c>
      <c r="M181" s="22" t="str">
        <f t="shared" si="4"/>
        <v/>
      </c>
      <c r="N181" s="7">
        <f t="shared" si="5"/>
        <v>0</v>
      </c>
      <c r="O181" s="7"/>
      <c r="P181" s="7"/>
    </row>
    <row r="182" spans="1:16" ht="24" customHeight="1">
      <c r="A182" s="7"/>
      <c r="B182" s="7"/>
      <c r="C182" s="13" t="str">
        <f>IF(Plan!C23="","",Plan!C23)</f>
        <v/>
      </c>
      <c r="D182" s="13" t="str">
        <f>IF(C182="","",Plan!D23)</f>
        <v/>
      </c>
      <c r="E182" s="33" t="str">
        <f>IF(OR(C182="",Parametry!$G$6=""),"",DATE(Parametry!$G$6,6,1))</f>
        <v/>
      </c>
      <c r="F182" s="34" t="str">
        <f>IF(C182="","",Plan!P23)</f>
        <v/>
      </c>
      <c r="G182" s="34" t="str">
        <f>IF(C182="","",SUMIFS(ERP!$I$9:$I$1008,ERP!$L$9:$L$1008,C182,ERP!$N$9:$N$1008,1,ERP!$M$9:$M$1008,6))</f>
        <v/>
      </c>
      <c r="H182" s="34" t="str">
        <f>IF(C182="","",IF(6&lt;=Parametry!$G$7,0,SUMIFS(Umowy!$N$9:$N$108,Umowy!$D$9:$D$108,C182,Umowy!$O$9:$O$108,6)))</f>
        <v/>
      </c>
      <c r="I182" s="34" t="str">
        <f>IF(C182="","",IF(6&lt;=Parametry!$G$7,0,IF(COUNTIFS(Prognoza!$C$9:$C$38,C182)=1,IF(ISBLANK(INDEX(Prognoza!$K$9:$V$38,MATCH($C182,Prognoza!$C$9:$C$38,0),6)),"",IF(ISNUMBER(INDEX(Prognoza!$K$9:$V$38,MATCH($C182,Prognoza!$C$9:$C$38,0),6)),INDEX(Prognoza!$K$9:$V$38,MATCH($C182,Prognoza!$C$9:$C$38,0),6),"")),"")))</f>
        <v/>
      </c>
      <c r="J182" s="35" t="str">
        <f>IF(C182="","",IF(Plan!F23="Run",IF(ISNUMBER(INDEX(Parametry!$H$18:$S$18,1,6)),INDEX(Parametry!$H$18:$S$18,1,6),""),IF(ISNUMBER(INDEX(Parametry!$H$24:$S$24,1,6)),INDEX(Parametry!$H$24:$S$24,1,6),"")))</f>
        <v/>
      </c>
      <c r="K182" s="34" t="str">
        <f>IF(C182="","",IF(6&lt;=Parametry!$G$7,0,IF(AND(ISNUMBER(I182),ISNUMBER(J182),J182&gt;=-1),I182*(1+J182),"")))</f>
        <v/>
      </c>
      <c r="L182" s="34" t="str">
        <f>IF(C182="","",IF(6&lt;=Parametry!$G$7,G182,IF(ISNUMBER(K182),H182+K182,"")))</f>
        <v/>
      </c>
      <c r="M182" s="22" t="str">
        <f t="shared" si="4"/>
        <v/>
      </c>
      <c r="N182" s="7">
        <f t="shared" si="5"/>
        <v>0</v>
      </c>
      <c r="O182" s="7"/>
      <c r="P182" s="7"/>
    </row>
    <row r="183" spans="1:16" ht="24" customHeight="1">
      <c r="A183" s="7"/>
      <c r="B183" s="7"/>
      <c r="C183" s="13" t="str">
        <f>IF(Plan!C23="","",Plan!C23)</f>
        <v/>
      </c>
      <c r="D183" s="13" t="str">
        <f>IF(C183="","",Plan!D23)</f>
        <v/>
      </c>
      <c r="E183" s="33" t="str">
        <f>IF(OR(C183="",Parametry!$G$6=""),"",DATE(Parametry!$G$6,7,1))</f>
        <v/>
      </c>
      <c r="F183" s="34" t="str">
        <f>IF(C183="","",Plan!Q23)</f>
        <v/>
      </c>
      <c r="G183" s="34" t="str">
        <f>IF(C183="","",SUMIFS(ERP!$I$9:$I$1008,ERP!$L$9:$L$1008,C183,ERP!$N$9:$N$1008,1,ERP!$M$9:$M$1008,7))</f>
        <v/>
      </c>
      <c r="H183" s="34" t="str">
        <f>IF(C183="","",IF(7&lt;=Parametry!$G$7,0,SUMIFS(Umowy!$N$9:$N$108,Umowy!$D$9:$D$108,C183,Umowy!$O$9:$O$108,7)))</f>
        <v/>
      </c>
      <c r="I183" s="34" t="str">
        <f>IF(C183="","",IF(7&lt;=Parametry!$G$7,0,IF(COUNTIFS(Prognoza!$C$9:$C$38,C183)=1,IF(ISBLANK(INDEX(Prognoza!$K$9:$V$38,MATCH($C183,Prognoza!$C$9:$C$38,0),7)),"",IF(ISNUMBER(INDEX(Prognoza!$K$9:$V$38,MATCH($C183,Prognoza!$C$9:$C$38,0),7)),INDEX(Prognoza!$K$9:$V$38,MATCH($C183,Prognoza!$C$9:$C$38,0),7),"")),"")))</f>
        <v/>
      </c>
      <c r="J183" s="35" t="str">
        <f>IF(C183="","",IF(Plan!F23="Run",IF(ISNUMBER(INDEX(Parametry!$H$18:$S$18,1,7)),INDEX(Parametry!$H$18:$S$18,1,7),""),IF(ISNUMBER(INDEX(Parametry!$H$24:$S$24,1,7)),INDEX(Parametry!$H$24:$S$24,1,7),"")))</f>
        <v/>
      </c>
      <c r="K183" s="34" t="str">
        <f>IF(C183="","",IF(7&lt;=Parametry!$G$7,0,IF(AND(ISNUMBER(I183),ISNUMBER(J183),J183&gt;=-1),I183*(1+J183),"")))</f>
        <v/>
      </c>
      <c r="L183" s="34" t="str">
        <f>IF(C183="","",IF(7&lt;=Parametry!$G$7,G183,IF(ISNUMBER(K183),H183+K183,"")))</f>
        <v/>
      </c>
      <c r="M183" s="22" t="str">
        <f t="shared" si="4"/>
        <v/>
      </c>
      <c r="N183" s="7">
        <f t="shared" si="5"/>
        <v>0</v>
      </c>
      <c r="O183" s="7"/>
      <c r="P183" s="7"/>
    </row>
    <row r="184" spans="1:16" ht="24" customHeight="1">
      <c r="A184" s="7"/>
      <c r="B184" s="7"/>
      <c r="C184" s="13" t="str">
        <f>IF(Plan!C23="","",Plan!C23)</f>
        <v/>
      </c>
      <c r="D184" s="13" t="str">
        <f>IF(C184="","",Plan!D23)</f>
        <v/>
      </c>
      <c r="E184" s="33" t="str">
        <f>IF(OR(C184="",Parametry!$G$6=""),"",DATE(Parametry!$G$6,8,1))</f>
        <v/>
      </c>
      <c r="F184" s="34" t="str">
        <f>IF(C184="","",Plan!R23)</f>
        <v/>
      </c>
      <c r="G184" s="34" t="str">
        <f>IF(C184="","",SUMIFS(ERP!$I$9:$I$1008,ERP!$L$9:$L$1008,C184,ERP!$N$9:$N$1008,1,ERP!$M$9:$M$1008,8))</f>
        <v/>
      </c>
      <c r="H184" s="34" t="str">
        <f>IF(C184="","",IF(8&lt;=Parametry!$G$7,0,SUMIFS(Umowy!$N$9:$N$108,Umowy!$D$9:$D$108,C184,Umowy!$O$9:$O$108,8)))</f>
        <v/>
      </c>
      <c r="I184" s="34" t="str">
        <f>IF(C184="","",IF(8&lt;=Parametry!$G$7,0,IF(COUNTIFS(Prognoza!$C$9:$C$38,C184)=1,IF(ISBLANK(INDEX(Prognoza!$K$9:$V$38,MATCH($C184,Prognoza!$C$9:$C$38,0),8)),"",IF(ISNUMBER(INDEX(Prognoza!$K$9:$V$38,MATCH($C184,Prognoza!$C$9:$C$38,0),8)),INDEX(Prognoza!$K$9:$V$38,MATCH($C184,Prognoza!$C$9:$C$38,0),8),"")),"")))</f>
        <v/>
      </c>
      <c r="J184" s="35" t="str">
        <f>IF(C184="","",IF(Plan!F23="Run",IF(ISNUMBER(INDEX(Parametry!$H$18:$S$18,1,8)),INDEX(Parametry!$H$18:$S$18,1,8),""),IF(ISNUMBER(INDEX(Parametry!$H$24:$S$24,1,8)),INDEX(Parametry!$H$24:$S$24,1,8),"")))</f>
        <v/>
      </c>
      <c r="K184" s="34" t="str">
        <f>IF(C184="","",IF(8&lt;=Parametry!$G$7,0,IF(AND(ISNUMBER(I184),ISNUMBER(J184),J184&gt;=-1),I184*(1+J184),"")))</f>
        <v/>
      </c>
      <c r="L184" s="34" t="str">
        <f>IF(C184="","",IF(8&lt;=Parametry!$G$7,G184,IF(ISNUMBER(K184),H184+K184,"")))</f>
        <v/>
      </c>
      <c r="M184" s="22" t="str">
        <f t="shared" si="4"/>
        <v/>
      </c>
      <c r="N184" s="7">
        <f t="shared" si="5"/>
        <v>0</v>
      </c>
      <c r="O184" s="7"/>
      <c r="P184" s="7"/>
    </row>
    <row r="185" spans="1:16" ht="24" customHeight="1">
      <c r="A185" s="7"/>
      <c r="B185" s="7"/>
      <c r="C185" s="13" t="str">
        <f>IF(Plan!C23="","",Plan!C23)</f>
        <v/>
      </c>
      <c r="D185" s="13" t="str">
        <f>IF(C185="","",Plan!D23)</f>
        <v/>
      </c>
      <c r="E185" s="33" t="str">
        <f>IF(OR(C185="",Parametry!$G$6=""),"",DATE(Parametry!$G$6,9,1))</f>
        <v/>
      </c>
      <c r="F185" s="34" t="str">
        <f>IF(C185="","",Plan!S23)</f>
        <v/>
      </c>
      <c r="G185" s="34" t="str">
        <f>IF(C185="","",SUMIFS(ERP!$I$9:$I$1008,ERP!$L$9:$L$1008,C185,ERP!$N$9:$N$1008,1,ERP!$M$9:$M$1008,9))</f>
        <v/>
      </c>
      <c r="H185" s="34" t="str">
        <f>IF(C185="","",IF(9&lt;=Parametry!$G$7,0,SUMIFS(Umowy!$N$9:$N$108,Umowy!$D$9:$D$108,C185,Umowy!$O$9:$O$108,9)))</f>
        <v/>
      </c>
      <c r="I185" s="34" t="str">
        <f>IF(C185="","",IF(9&lt;=Parametry!$G$7,0,IF(COUNTIFS(Prognoza!$C$9:$C$38,C185)=1,IF(ISBLANK(INDEX(Prognoza!$K$9:$V$38,MATCH($C185,Prognoza!$C$9:$C$38,0),9)),"",IF(ISNUMBER(INDEX(Prognoza!$K$9:$V$38,MATCH($C185,Prognoza!$C$9:$C$38,0),9)),INDEX(Prognoza!$K$9:$V$38,MATCH($C185,Prognoza!$C$9:$C$38,0),9),"")),"")))</f>
        <v/>
      </c>
      <c r="J185" s="35" t="str">
        <f>IF(C185="","",IF(Plan!F23="Run",IF(ISNUMBER(INDEX(Parametry!$H$18:$S$18,1,9)),INDEX(Parametry!$H$18:$S$18,1,9),""),IF(ISNUMBER(INDEX(Parametry!$H$24:$S$24,1,9)),INDEX(Parametry!$H$24:$S$24,1,9),"")))</f>
        <v/>
      </c>
      <c r="K185" s="34" t="str">
        <f>IF(C185="","",IF(9&lt;=Parametry!$G$7,0,IF(AND(ISNUMBER(I185),ISNUMBER(J185),J185&gt;=-1),I185*(1+J185),"")))</f>
        <v/>
      </c>
      <c r="L185" s="34" t="str">
        <f>IF(C185="","",IF(9&lt;=Parametry!$G$7,G185,IF(ISNUMBER(K185),H185+K185,"")))</f>
        <v/>
      </c>
      <c r="M185" s="22" t="str">
        <f t="shared" si="4"/>
        <v/>
      </c>
      <c r="N185" s="7">
        <f t="shared" si="5"/>
        <v>0</v>
      </c>
      <c r="O185" s="7"/>
      <c r="P185" s="7"/>
    </row>
    <row r="186" spans="1:16" ht="24" customHeight="1">
      <c r="A186" s="7"/>
      <c r="B186" s="7"/>
      <c r="C186" s="13" t="str">
        <f>IF(Plan!C23="","",Plan!C23)</f>
        <v/>
      </c>
      <c r="D186" s="13" t="str">
        <f>IF(C186="","",Plan!D23)</f>
        <v/>
      </c>
      <c r="E186" s="33" t="str">
        <f>IF(OR(C186="",Parametry!$G$6=""),"",DATE(Parametry!$G$6,10,1))</f>
        <v/>
      </c>
      <c r="F186" s="34" t="str">
        <f>IF(C186="","",Plan!T23)</f>
        <v/>
      </c>
      <c r="G186" s="34" t="str">
        <f>IF(C186="","",SUMIFS(ERP!$I$9:$I$1008,ERP!$L$9:$L$1008,C186,ERP!$N$9:$N$1008,1,ERP!$M$9:$M$1008,10))</f>
        <v/>
      </c>
      <c r="H186" s="34" t="str">
        <f>IF(C186="","",IF(10&lt;=Parametry!$G$7,0,SUMIFS(Umowy!$N$9:$N$108,Umowy!$D$9:$D$108,C186,Umowy!$O$9:$O$108,10)))</f>
        <v/>
      </c>
      <c r="I186" s="34" t="str">
        <f>IF(C186="","",IF(10&lt;=Parametry!$G$7,0,IF(COUNTIFS(Prognoza!$C$9:$C$38,C186)=1,IF(ISBLANK(INDEX(Prognoza!$K$9:$V$38,MATCH($C186,Prognoza!$C$9:$C$38,0),10)),"",IF(ISNUMBER(INDEX(Prognoza!$K$9:$V$38,MATCH($C186,Prognoza!$C$9:$C$38,0),10)),INDEX(Prognoza!$K$9:$V$38,MATCH($C186,Prognoza!$C$9:$C$38,0),10),"")),"")))</f>
        <v/>
      </c>
      <c r="J186" s="35" t="str">
        <f>IF(C186="","",IF(Plan!F23="Run",IF(ISNUMBER(INDEX(Parametry!$H$18:$S$18,1,10)),INDEX(Parametry!$H$18:$S$18,1,10),""),IF(ISNUMBER(INDEX(Parametry!$H$24:$S$24,1,10)),INDEX(Parametry!$H$24:$S$24,1,10),"")))</f>
        <v/>
      </c>
      <c r="K186" s="34" t="str">
        <f>IF(C186="","",IF(10&lt;=Parametry!$G$7,0,IF(AND(ISNUMBER(I186),ISNUMBER(J186),J186&gt;=-1),I186*(1+J186),"")))</f>
        <v/>
      </c>
      <c r="L186" s="34" t="str">
        <f>IF(C186="","",IF(10&lt;=Parametry!$G$7,G186,IF(ISNUMBER(K186),H186+K186,"")))</f>
        <v/>
      </c>
      <c r="M186" s="22" t="str">
        <f t="shared" si="4"/>
        <v/>
      </c>
      <c r="N186" s="7">
        <f t="shared" si="5"/>
        <v>0</v>
      </c>
      <c r="O186" s="7"/>
      <c r="P186" s="7"/>
    </row>
    <row r="187" spans="1:16" ht="24" customHeight="1">
      <c r="A187" s="7"/>
      <c r="B187" s="7"/>
      <c r="C187" s="13" t="str">
        <f>IF(Plan!C23="","",Plan!C23)</f>
        <v/>
      </c>
      <c r="D187" s="13" t="str">
        <f>IF(C187="","",Plan!D23)</f>
        <v/>
      </c>
      <c r="E187" s="33" t="str">
        <f>IF(OR(C187="",Parametry!$G$6=""),"",DATE(Parametry!$G$6,11,1))</f>
        <v/>
      </c>
      <c r="F187" s="34" t="str">
        <f>IF(C187="","",Plan!U23)</f>
        <v/>
      </c>
      <c r="G187" s="34" t="str">
        <f>IF(C187="","",SUMIFS(ERP!$I$9:$I$1008,ERP!$L$9:$L$1008,C187,ERP!$N$9:$N$1008,1,ERP!$M$9:$M$1008,11))</f>
        <v/>
      </c>
      <c r="H187" s="34" t="str">
        <f>IF(C187="","",IF(11&lt;=Parametry!$G$7,0,SUMIFS(Umowy!$N$9:$N$108,Umowy!$D$9:$D$108,C187,Umowy!$O$9:$O$108,11)))</f>
        <v/>
      </c>
      <c r="I187" s="34" t="str">
        <f>IF(C187="","",IF(11&lt;=Parametry!$G$7,0,IF(COUNTIFS(Prognoza!$C$9:$C$38,C187)=1,IF(ISBLANK(INDEX(Prognoza!$K$9:$V$38,MATCH($C187,Prognoza!$C$9:$C$38,0),11)),"",IF(ISNUMBER(INDEX(Prognoza!$K$9:$V$38,MATCH($C187,Prognoza!$C$9:$C$38,0),11)),INDEX(Prognoza!$K$9:$V$38,MATCH($C187,Prognoza!$C$9:$C$38,0),11),"")),"")))</f>
        <v/>
      </c>
      <c r="J187" s="35" t="str">
        <f>IF(C187="","",IF(Plan!F23="Run",IF(ISNUMBER(INDEX(Parametry!$H$18:$S$18,1,11)),INDEX(Parametry!$H$18:$S$18,1,11),""),IF(ISNUMBER(INDEX(Parametry!$H$24:$S$24,1,11)),INDEX(Parametry!$H$24:$S$24,1,11),"")))</f>
        <v/>
      </c>
      <c r="K187" s="34" t="str">
        <f>IF(C187="","",IF(11&lt;=Parametry!$G$7,0,IF(AND(ISNUMBER(I187),ISNUMBER(J187),J187&gt;=-1),I187*(1+J187),"")))</f>
        <v/>
      </c>
      <c r="L187" s="34" t="str">
        <f>IF(C187="","",IF(11&lt;=Parametry!$G$7,G187,IF(ISNUMBER(K187),H187+K187,"")))</f>
        <v/>
      </c>
      <c r="M187" s="22" t="str">
        <f t="shared" si="4"/>
        <v/>
      </c>
      <c r="N187" s="7">
        <f t="shared" si="5"/>
        <v>0</v>
      </c>
      <c r="O187" s="7"/>
      <c r="P187" s="7"/>
    </row>
    <row r="188" spans="1:16" ht="24" customHeight="1">
      <c r="A188" s="7"/>
      <c r="B188" s="7"/>
      <c r="C188" s="13" t="str">
        <f>IF(Plan!C23="","",Plan!C23)</f>
        <v/>
      </c>
      <c r="D188" s="13" t="str">
        <f>IF(C188="","",Plan!D23)</f>
        <v/>
      </c>
      <c r="E188" s="33" t="str">
        <f>IF(OR(C188="",Parametry!$G$6=""),"",DATE(Parametry!$G$6,12,1))</f>
        <v/>
      </c>
      <c r="F188" s="34" t="str">
        <f>IF(C188="","",Plan!V23)</f>
        <v/>
      </c>
      <c r="G188" s="34" t="str">
        <f>IF(C188="","",SUMIFS(ERP!$I$9:$I$1008,ERP!$L$9:$L$1008,C188,ERP!$N$9:$N$1008,1,ERP!$M$9:$M$1008,12))</f>
        <v/>
      </c>
      <c r="H188" s="34" t="str">
        <f>IF(C188="","",IF(12&lt;=Parametry!$G$7,0,SUMIFS(Umowy!$N$9:$N$108,Umowy!$D$9:$D$108,C188,Umowy!$O$9:$O$108,12)))</f>
        <v/>
      </c>
      <c r="I188" s="34" t="str">
        <f>IF(C188="","",IF(12&lt;=Parametry!$G$7,0,IF(COUNTIFS(Prognoza!$C$9:$C$38,C188)=1,IF(ISBLANK(INDEX(Prognoza!$K$9:$V$38,MATCH($C188,Prognoza!$C$9:$C$38,0),12)),"",IF(ISNUMBER(INDEX(Prognoza!$K$9:$V$38,MATCH($C188,Prognoza!$C$9:$C$38,0),12)),INDEX(Prognoza!$K$9:$V$38,MATCH($C188,Prognoza!$C$9:$C$38,0),12),"")),"")))</f>
        <v/>
      </c>
      <c r="J188" s="35" t="str">
        <f>IF(C188="","",IF(Plan!F23="Run",IF(ISNUMBER(INDEX(Parametry!$H$18:$S$18,1,12)),INDEX(Parametry!$H$18:$S$18,1,12),""),IF(ISNUMBER(INDEX(Parametry!$H$24:$S$24,1,12)),INDEX(Parametry!$H$24:$S$24,1,12),"")))</f>
        <v/>
      </c>
      <c r="K188" s="34" t="str">
        <f>IF(C188="","",IF(12&lt;=Parametry!$G$7,0,IF(AND(ISNUMBER(I188),ISNUMBER(J188),J188&gt;=-1),I188*(1+J188),"")))</f>
        <v/>
      </c>
      <c r="L188" s="34" t="str">
        <f>IF(C188="","",IF(12&lt;=Parametry!$G$7,G188,IF(ISNUMBER(K188),H188+K188,"")))</f>
        <v/>
      </c>
      <c r="M188" s="22" t="str">
        <f t="shared" si="4"/>
        <v/>
      </c>
      <c r="N188" s="7">
        <f t="shared" si="5"/>
        <v>0</v>
      </c>
      <c r="O188" s="7"/>
      <c r="P188" s="7"/>
    </row>
    <row r="189" spans="1:16" ht="24" customHeight="1">
      <c r="A189" s="7"/>
      <c r="B189" s="7"/>
      <c r="C189" s="13" t="str">
        <f>IF(Plan!C24="","",Plan!C24)</f>
        <v/>
      </c>
      <c r="D189" s="13" t="str">
        <f>IF(C189="","",Plan!D24)</f>
        <v/>
      </c>
      <c r="E189" s="33" t="str">
        <f>IF(OR(C189="",Parametry!$G$6=""),"",DATE(Parametry!$G$6,1,1))</f>
        <v/>
      </c>
      <c r="F189" s="34" t="str">
        <f>IF(C189="","",Plan!K24)</f>
        <v/>
      </c>
      <c r="G189" s="34" t="str">
        <f>IF(C189="","",SUMIFS(ERP!$I$9:$I$1008,ERP!$L$9:$L$1008,C189,ERP!$N$9:$N$1008,1,ERP!$M$9:$M$1008,1))</f>
        <v/>
      </c>
      <c r="H189" s="34" t="str">
        <f>IF(C189="","",IF(1&lt;=Parametry!$G$7,0,SUMIFS(Umowy!$N$9:$N$108,Umowy!$D$9:$D$108,C189,Umowy!$O$9:$O$108,1)))</f>
        <v/>
      </c>
      <c r="I189" s="34" t="str">
        <f>IF(C189="","",IF(1&lt;=Parametry!$G$7,0,IF(COUNTIFS(Prognoza!$C$9:$C$38,C189)=1,IF(ISBLANK(INDEX(Prognoza!$K$9:$V$38,MATCH($C189,Prognoza!$C$9:$C$38,0),1)),"",IF(ISNUMBER(INDEX(Prognoza!$K$9:$V$38,MATCH($C189,Prognoza!$C$9:$C$38,0),1)),INDEX(Prognoza!$K$9:$V$38,MATCH($C189,Prognoza!$C$9:$C$38,0),1),"")),"")))</f>
        <v/>
      </c>
      <c r="J189" s="35" t="str">
        <f>IF(C189="","",IF(Plan!F24="Run",IF(ISNUMBER(INDEX(Parametry!$H$18:$S$18,1,1)),INDEX(Parametry!$H$18:$S$18,1,1),""),IF(ISNUMBER(INDEX(Parametry!$H$24:$S$24,1,1)),INDEX(Parametry!$H$24:$S$24,1,1),"")))</f>
        <v/>
      </c>
      <c r="K189" s="34" t="str">
        <f>IF(C189="","",IF(1&lt;=Parametry!$G$7,0,IF(AND(ISNUMBER(I189),ISNUMBER(J189),J189&gt;=-1),I189*(1+J189),"")))</f>
        <v/>
      </c>
      <c r="L189" s="34" t="str">
        <f>IF(C189="","",IF(1&lt;=Parametry!$G$7,G189,IF(ISNUMBER(K189),H189+K189,"")))</f>
        <v/>
      </c>
      <c r="M189" s="22" t="str">
        <f t="shared" si="4"/>
        <v/>
      </c>
      <c r="N189" s="7">
        <f t="shared" si="5"/>
        <v>0</v>
      </c>
      <c r="O189" s="7"/>
      <c r="P189" s="7"/>
    </row>
    <row r="190" spans="1:16" ht="24" customHeight="1">
      <c r="A190" s="7"/>
      <c r="B190" s="7"/>
      <c r="C190" s="13" t="str">
        <f>IF(Plan!C24="","",Plan!C24)</f>
        <v/>
      </c>
      <c r="D190" s="13" t="str">
        <f>IF(C190="","",Plan!D24)</f>
        <v/>
      </c>
      <c r="E190" s="33" t="str">
        <f>IF(OR(C190="",Parametry!$G$6=""),"",DATE(Parametry!$G$6,2,1))</f>
        <v/>
      </c>
      <c r="F190" s="34" t="str">
        <f>IF(C190="","",Plan!L24)</f>
        <v/>
      </c>
      <c r="G190" s="34" t="str">
        <f>IF(C190="","",SUMIFS(ERP!$I$9:$I$1008,ERP!$L$9:$L$1008,C190,ERP!$N$9:$N$1008,1,ERP!$M$9:$M$1008,2))</f>
        <v/>
      </c>
      <c r="H190" s="34" t="str">
        <f>IF(C190="","",IF(2&lt;=Parametry!$G$7,0,SUMIFS(Umowy!$N$9:$N$108,Umowy!$D$9:$D$108,C190,Umowy!$O$9:$O$108,2)))</f>
        <v/>
      </c>
      <c r="I190" s="34" t="str">
        <f>IF(C190="","",IF(2&lt;=Parametry!$G$7,0,IF(COUNTIFS(Prognoza!$C$9:$C$38,C190)=1,IF(ISBLANK(INDEX(Prognoza!$K$9:$V$38,MATCH($C190,Prognoza!$C$9:$C$38,0),2)),"",IF(ISNUMBER(INDEX(Prognoza!$K$9:$V$38,MATCH($C190,Prognoza!$C$9:$C$38,0),2)),INDEX(Prognoza!$K$9:$V$38,MATCH($C190,Prognoza!$C$9:$C$38,0),2),"")),"")))</f>
        <v/>
      </c>
      <c r="J190" s="35" t="str">
        <f>IF(C190="","",IF(Plan!F24="Run",IF(ISNUMBER(INDEX(Parametry!$H$18:$S$18,1,2)),INDEX(Parametry!$H$18:$S$18,1,2),""),IF(ISNUMBER(INDEX(Parametry!$H$24:$S$24,1,2)),INDEX(Parametry!$H$24:$S$24,1,2),"")))</f>
        <v/>
      </c>
      <c r="K190" s="34" t="str">
        <f>IF(C190="","",IF(2&lt;=Parametry!$G$7,0,IF(AND(ISNUMBER(I190),ISNUMBER(J190),J190&gt;=-1),I190*(1+J190),"")))</f>
        <v/>
      </c>
      <c r="L190" s="34" t="str">
        <f>IF(C190="","",IF(2&lt;=Parametry!$G$7,G190,IF(ISNUMBER(K190),H190+K190,"")))</f>
        <v/>
      </c>
      <c r="M190" s="22" t="str">
        <f t="shared" si="4"/>
        <v/>
      </c>
      <c r="N190" s="7">
        <f t="shared" si="5"/>
        <v>0</v>
      </c>
      <c r="O190" s="7"/>
      <c r="P190" s="7"/>
    </row>
    <row r="191" spans="1:16" ht="24" customHeight="1">
      <c r="A191" s="7"/>
      <c r="B191" s="7"/>
      <c r="C191" s="13" t="str">
        <f>IF(Plan!C24="","",Plan!C24)</f>
        <v/>
      </c>
      <c r="D191" s="13" t="str">
        <f>IF(C191="","",Plan!D24)</f>
        <v/>
      </c>
      <c r="E191" s="33" t="str">
        <f>IF(OR(C191="",Parametry!$G$6=""),"",DATE(Parametry!$G$6,3,1))</f>
        <v/>
      </c>
      <c r="F191" s="34" t="str">
        <f>IF(C191="","",Plan!M24)</f>
        <v/>
      </c>
      <c r="G191" s="34" t="str">
        <f>IF(C191="","",SUMIFS(ERP!$I$9:$I$1008,ERP!$L$9:$L$1008,C191,ERP!$N$9:$N$1008,1,ERP!$M$9:$M$1008,3))</f>
        <v/>
      </c>
      <c r="H191" s="34" t="str">
        <f>IF(C191="","",IF(3&lt;=Parametry!$G$7,0,SUMIFS(Umowy!$N$9:$N$108,Umowy!$D$9:$D$108,C191,Umowy!$O$9:$O$108,3)))</f>
        <v/>
      </c>
      <c r="I191" s="34" t="str">
        <f>IF(C191="","",IF(3&lt;=Parametry!$G$7,0,IF(COUNTIFS(Prognoza!$C$9:$C$38,C191)=1,IF(ISBLANK(INDEX(Prognoza!$K$9:$V$38,MATCH($C191,Prognoza!$C$9:$C$38,0),3)),"",IF(ISNUMBER(INDEX(Prognoza!$K$9:$V$38,MATCH($C191,Prognoza!$C$9:$C$38,0),3)),INDEX(Prognoza!$K$9:$V$38,MATCH($C191,Prognoza!$C$9:$C$38,0),3),"")),"")))</f>
        <v/>
      </c>
      <c r="J191" s="35" t="str">
        <f>IF(C191="","",IF(Plan!F24="Run",IF(ISNUMBER(INDEX(Parametry!$H$18:$S$18,1,3)),INDEX(Parametry!$H$18:$S$18,1,3),""),IF(ISNUMBER(INDEX(Parametry!$H$24:$S$24,1,3)),INDEX(Parametry!$H$24:$S$24,1,3),"")))</f>
        <v/>
      </c>
      <c r="K191" s="34" t="str">
        <f>IF(C191="","",IF(3&lt;=Parametry!$G$7,0,IF(AND(ISNUMBER(I191),ISNUMBER(J191),J191&gt;=-1),I191*(1+J191),"")))</f>
        <v/>
      </c>
      <c r="L191" s="34" t="str">
        <f>IF(C191="","",IF(3&lt;=Parametry!$G$7,G191,IF(ISNUMBER(K191),H191+K191,"")))</f>
        <v/>
      </c>
      <c r="M191" s="22" t="str">
        <f t="shared" si="4"/>
        <v/>
      </c>
      <c r="N191" s="7">
        <f t="shared" si="5"/>
        <v>0</v>
      </c>
      <c r="O191" s="7"/>
      <c r="P191" s="7"/>
    </row>
    <row r="192" spans="1:16" ht="24" customHeight="1">
      <c r="A192" s="7"/>
      <c r="B192" s="7"/>
      <c r="C192" s="13" t="str">
        <f>IF(Plan!C24="","",Plan!C24)</f>
        <v/>
      </c>
      <c r="D192" s="13" t="str">
        <f>IF(C192="","",Plan!D24)</f>
        <v/>
      </c>
      <c r="E192" s="33" t="str">
        <f>IF(OR(C192="",Parametry!$G$6=""),"",DATE(Parametry!$G$6,4,1))</f>
        <v/>
      </c>
      <c r="F192" s="34" t="str">
        <f>IF(C192="","",Plan!N24)</f>
        <v/>
      </c>
      <c r="G192" s="34" t="str">
        <f>IF(C192="","",SUMIFS(ERP!$I$9:$I$1008,ERP!$L$9:$L$1008,C192,ERP!$N$9:$N$1008,1,ERP!$M$9:$M$1008,4))</f>
        <v/>
      </c>
      <c r="H192" s="34" t="str">
        <f>IF(C192="","",IF(4&lt;=Parametry!$G$7,0,SUMIFS(Umowy!$N$9:$N$108,Umowy!$D$9:$D$108,C192,Umowy!$O$9:$O$108,4)))</f>
        <v/>
      </c>
      <c r="I192" s="34" t="str">
        <f>IF(C192="","",IF(4&lt;=Parametry!$G$7,0,IF(COUNTIFS(Prognoza!$C$9:$C$38,C192)=1,IF(ISBLANK(INDEX(Prognoza!$K$9:$V$38,MATCH($C192,Prognoza!$C$9:$C$38,0),4)),"",IF(ISNUMBER(INDEX(Prognoza!$K$9:$V$38,MATCH($C192,Prognoza!$C$9:$C$38,0),4)),INDEX(Prognoza!$K$9:$V$38,MATCH($C192,Prognoza!$C$9:$C$38,0),4),"")),"")))</f>
        <v/>
      </c>
      <c r="J192" s="35" t="str">
        <f>IF(C192="","",IF(Plan!F24="Run",IF(ISNUMBER(INDEX(Parametry!$H$18:$S$18,1,4)),INDEX(Parametry!$H$18:$S$18,1,4),""),IF(ISNUMBER(INDEX(Parametry!$H$24:$S$24,1,4)),INDEX(Parametry!$H$24:$S$24,1,4),"")))</f>
        <v/>
      </c>
      <c r="K192" s="34" t="str">
        <f>IF(C192="","",IF(4&lt;=Parametry!$G$7,0,IF(AND(ISNUMBER(I192),ISNUMBER(J192),J192&gt;=-1),I192*(1+J192),"")))</f>
        <v/>
      </c>
      <c r="L192" s="34" t="str">
        <f>IF(C192="","",IF(4&lt;=Parametry!$G$7,G192,IF(ISNUMBER(K192),H192+K192,"")))</f>
        <v/>
      </c>
      <c r="M192" s="22" t="str">
        <f t="shared" si="4"/>
        <v/>
      </c>
      <c r="N192" s="7">
        <f t="shared" si="5"/>
        <v>0</v>
      </c>
      <c r="O192" s="7"/>
      <c r="P192" s="7"/>
    </row>
    <row r="193" spans="1:16" ht="24" customHeight="1">
      <c r="A193" s="7"/>
      <c r="B193" s="7"/>
      <c r="C193" s="13" t="str">
        <f>IF(Plan!C24="","",Plan!C24)</f>
        <v/>
      </c>
      <c r="D193" s="13" t="str">
        <f>IF(C193="","",Plan!D24)</f>
        <v/>
      </c>
      <c r="E193" s="33" t="str">
        <f>IF(OR(C193="",Parametry!$G$6=""),"",DATE(Parametry!$G$6,5,1))</f>
        <v/>
      </c>
      <c r="F193" s="34" t="str">
        <f>IF(C193="","",Plan!O24)</f>
        <v/>
      </c>
      <c r="G193" s="34" t="str">
        <f>IF(C193="","",SUMIFS(ERP!$I$9:$I$1008,ERP!$L$9:$L$1008,C193,ERP!$N$9:$N$1008,1,ERP!$M$9:$M$1008,5))</f>
        <v/>
      </c>
      <c r="H193" s="34" t="str">
        <f>IF(C193="","",IF(5&lt;=Parametry!$G$7,0,SUMIFS(Umowy!$N$9:$N$108,Umowy!$D$9:$D$108,C193,Umowy!$O$9:$O$108,5)))</f>
        <v/>
      </c>
      <c r="I193" s="34" t="str">
        <f>IF(C193="","",IF(5&lt;=Parametry!$G$7,0,IF(COUNTIFS(Prognoza!$C$9:$C$38,C193)=1,IF(ISBLANK(INDEX(Prognoza!$K$9:$V$38,MATCH($C193,Prognoza!$C$9:$C$38,0),5)),"",IF(ISNUMBER(INDEX(Prognoza!$K$9:$V$38,MATCH($C193,Prognoza!$C$9:$C$38,0),5)),INDEX(Prognoza!$K$9:$V$38,MATCH($C193,Prognoza!$C$9:$C$38,0),5),"")),"")))</f>
        <v/>
      </c>
      <c r="J193" s="35" t="str">
        <f>IF(C193="","",IF(Plan!F24="Run",IF(ISNUMBER(INDEX(Parametry!$H$18:$S$18,1,5)),INDEX(Parametry!$H$18:$S$18,1,5),""),IF(ISNUMBER(INDEX(Parametry!$H$24:$S$24,1,5)),INDEX(Parametry!$H$24:$S$24,1,5),"")))</f>
        <v/>
      </c>
      <c r="K193" s="34" t="str">
        <f>IF(C193="","",IF(5&lt;=Parametry!$G$7,0,IF(AND(ISNUMBER(I193),ISNUMBER(J193),J193&gt;=-1),I193*(1+J193),"")))</f>
        <v/>
      </c>
      <c r="L193" s="34" t="str">
        <f>IF(C193="","",IF(5&lt;=Parametry!$G$7,G193,IF(ISNUMBER(K193),H193+K193,"")))</f>
        <v/>
      </c>
      <c r="M193" s="22" t="str">
        <f t="shared" si="4"/>
        <v/>
      </c>
      <c r="N193" s="7">
        <f t="shared" si="5"/>
        <v>0</v>
      </c>
      <c r="O193" s="7"/>
      <c r="P193" s="7"/>
    </row>
    <row r="194" spans="1:16" ht="24" customHeight="1">
      <c r="A194" s="7"/>
      <c r="B194" s="7"/>
      <c r="C194" s="13" t="str">
        <f>IF(Plan!C24="","",Plan!C24)</f>
        <v/>
      </c>
      <c r="D194" s="13" t="str">
        <f>IF(C194="","",Plan!D24)</f>
        <v/>
      </c>
      <c r="E194" s="33" t="str">
        <f>IF(OR(C194="",Parametry!$G$6=""),"",DATE(Parametry!$G$6,6,1))</f>
        <v/>
      </c>
      <c r="F194" s="34" t="str">
        <f>IF(C194="","",Plan!P24)</f>
        <v/>
      </c>
      <c r="G194" s="34" t="str">
        <f>IF(C194="","",SUMIFS(ERP!$I$9:$I$1008,ERP!$L$9:$L$1008,C194,ERP!$N$9:$N$1008,1,ERP!$M$9:$M$1008,6))</f>
        <v/>
      </c>
      <c r="H194" s="34" t="str">
        <f>IF(C194="","",IF(6&lt;=Parametry!$G$7,0,SUMIFS(Umowy!$N$9:$N$108,Umowy!$D$9:$D$108,C194,Umowy!$O$9:$O$108,6)))</f>
        <v/>
      </c>
      <c r="I194" s="34" t="str">
        <f>IF(C194="","",IF(6&lt;=Parametry!$G$7,0,IF(COUNTIFS(Prognoza!$C$9:$C$38,C194)=1,IF(ISBLANK(INDEX(Prognoza!$K$9:$V$38,MATCH($C194,Prognoza!$C$9:$C$38,0),6)),"",IF(ISNUMBER(INDEX(Prognoza!$K$9:$V$38,MATCH($C194,Prognoza!$C$9:$C$38,0),6)),INDEX(Prognoza!$K$9:$V$38,MATCH($C194,Prognoza!$C$9:$C$38,0),6),"")),"")))</f>
        <v/>
      </c>
      <c r="J194" s="35" t="str">
        <f>IF(C194="","",IF(Plan!F24="Run",IF(ISNUMBER(INDEX(Parametry!$H$18:$S$18,1,6)),INDEX(Parametry!$H$18:$S$18,1,6),""),IF(ISNUMBER(INDEX(Parametry!$H$24:$S$24,1,6)),INDEX(Parametry!$H$24:$S$24,1,6),"")))</f>
        <v/>
      </c>
      <c r="K194" s="34" t="str">
        <f>IF(C194="","",IF(6&lt;=Parametry!$G$7,0,IF(AND(ISNUMBER(I194),ISNUMBER(J194),J194&gt;=-1),I194*(1+J194),"")))</f>
        <v/>
      </c>
      <c r="L194" s="34" t="str">
        <f>IF(C194="","",IF(6&lt;=Parametry!$G$7,G194,IF(ISNUMBER(K194),H194+K194,"")))</f>
        <v/>
      </c>
      <c r="M194" s="22" t="str">
        <f t="shared" si="4"/>
        <v/>
      </c>
      <c r="N194" s="7">
        <f t="shared" si="5"/>
        <v>0</v>
      </c>
      <c r="O194" s="7"/>
      <c r="P194" s="7"/>
    </row>
    <row r="195" spans="1:16" ht="24" customHeight="1">
      <c r="A195" s="7"/>
      <c r="B195" s="7"/>
      <c r="C195" s="13" t="str">
        <f>IF(Plan!C24="","",Plan!C24)</f>
        <v/>
      </c>
      <c r="D195" s="13" t="str">
        <f>IF(C195="","",Plan!D24)</f>
        <v/>
      </c>
      <c r="E195" s="33" t="str">
        <f>IF(OR(C195="",Parametry!$G$6=""),"",DATE(Parametry!$G$6,7,1))</f>
        <v/>
      </c>
      <c r="F195" s="34" t="str">
        <f>IF(C195="","",Plan!Q24)</f>
        <v/>
      </c>
      <c r="G195" s="34" t="str">
        <f>IF(C195="","",SUMIFS(ERP!$I$9:$I$1008,ERP!$L$9:$L$1008,C195,ERP!$N$9:$N$1008,1,ERP!$M$9:$M$1008,7))</f>
        <v/>
      </c>
      <c r="H195" s="34" t="str">
        <f>IF(C195="","",IF(7&lt;=Parametry!$G$7,0,SUMIFS(Umowy!$N$9:$N$108,Umowy!$D$9:$D$108,C195,Umowy!$O$9:$O$108,7)))</f>
        <v/>
      </c>
      <c r="I195" s="34" t="str">
        <f>IF(C195="","",IF(7&lt;=Parametry!$G$7,0,IF(COUNTIFS(Prognoza!$C$9:$C$38,C195)=1,IF(ISBLANK(INDEX(Prognoza!$K$9:$V$38,MATCH($C195,Prognoza!$C$9:$C$38,0),7)),"",IF(ISNUMBER(INDEX(Prognoza!$K$9:$V$38,MATCH($C195,Prognoza!$C$9:$C$38,0),7)),INDEX(Prognoza!$K$9:$V$38,MATCH($C195,Prognoza!$C$9:$C$38,0),7),"")),"")))</f>
        <v/>
      </c>
      <c r="J195" s="35" t="str">
        <f>IF(C195="","",IF(Plan!F24="Run",IF(ISNUMBER(INDEX(Parametry!$H$18:$S$18,1,7)),INDEX(Parametry!$H$18:$S$18,1,7),""),IF(ISNUMBER(INDEX(Parametry!$H$24:$S$24,1,7)),INDEX(Parametry!$H$24:$S$24,1,7),"")))</f>
        <v/>
      </c>
      <c r="K195" s="34" t="str">
        <f>IF(C195="","",IF(7&lt;=Parametry!$G$7,0,IF(AND(ISNUMBER(I195),ISNUMBER(J195),J195&gt;=-1),I195*(1+J195),"")))</f>
        <v/>
      </c>
      <c r="L195" s="34" t="str">
        <f>IF(C195="","",IF(7&lt;=Parametry!$G$7,G195,IF(ISNUMBER(K195),H195+K195,"")))</f>
        <v/>
      </c>
      <c r="M195" s="22" t="str">
        <f t="shared" si="4"/>
        <v/>
      </c>
      <c r="N195" s="7">
        <f t="shared" si="5"/>
        <v>0</v>
      </c>
      <c r="O195" s="7"/>
      <c r="P195" s="7"/>
    </row>
    <row r="196" spans="1:16" ht="24" customHeight="1">
      <c r="A196" s="7"/>
      <c r="B196" s="7"/>
      <c r="C196" s="13" t="str">
        <f>IF(Plan!C24="","",Plan!C24)</f>
        <v/>
      </c>
      <c r="D196" s="13" t="str">
        <f>IF(C196="","",Plan!D24)</f>
        <v/>
      </c>
      <c r="E196" s="33" t="str">
        <f>IF(OR(C196="",Parametry!$G$6=""),"",DATE(Parametry!$G$6,8,1))</f>
        <v/>
      </c>
      <c r="F196" s="34" t="str">
        <f>IF(C196="","",Plan!R24)</f>
        <v/>
      </c>
      <c r="G196" s="34" t="str">
        <f>IF(C196="","",SUMIFS(ERP!$I$9:$I$1008,ERP!$L$9:$L$1008,C196,ERP!$N$9:$N$1008,1,ERP!$M$9:$M$1008,8))</f>
        <v/>
      </c>
      <c r="H196" s="34" t="str">
        <f>IF(C196="","",IF(8&lt;=Parametry!$G$7,0,SUMIFS(Umowy!$N$9:$N$108,Umowy!$D$9:$D$108,C196,Umowy!$O$9:$O$108,8)))</f>
        <v/>
      </c>
      <c r="I196" s="34" t="str">
        <f>IF(C196="","",IF(8&lt;=Parametry!$G$7,0,IF(COUNTIFS(Prognoza!$C$9:$C$38,C196)=1,IF(ISBLANK(INDEX(Prognoza!$K$9:$V$38,MATCH($C196,Prognoza!$C$9:$C$38,0),8)),"",IF(ISNUMBER(INDEX(Prognoza!$K$9:$V$38,MATCH($C196,Prognoza!$C$9:$C$38,0),8)),INDEX(Prognoza!$K$9:$V$38,MATCH($C196,Prognoza!$C$9:$C$38,0),8),"")),"")))</f>
        <v/>
      </c>
      <c r="J196" s="35" t="str">
        <f>IF(C196="","",IF(Plan!F24="Run",IF(ISNUMBER(INDEX(Parametry!$H$18:$S$18,1,8)),INDEX(Parametry!$H$18:$S$18,1,8),""),IF(ISNUMBER(INDEX(Parametry!$H$24:$S$24,1,8)),INDEX(Parametry!$H$24:$S$24,1,8),"")))</f>
        <v/>
      </c>
      <c r="K196" s="34" t="str">
        <f>IF(C196="","",IF(8&lt;=Parametry!$G$7,0,IF(AND(ISNUMBER(I196),ISNUMBER(J196),J196&gt;=-1),I196*(1+J196),"")))</f>
        <v/>
      </c>
      <c r="L196" s="34" t="str">
        <f>IF(C196="","",IF(8&lt;=Parametry!$G$7,G196,IF(ISNUMBER(K196),H196+K196,"")))</f>
        <v/>
      </c>
      <c r="M196" s="22" t="str">
        <f t="shared" si="4"/>
        <v/>
      </c>
      <c r="N196" s="7">
        <f t="shared" si="5"/>
        <v>0</v>
      </c>
      <c r="O196" s="7"/>
      <c r="P196" s="7"/>
    </row>
    <row r="197" spans="1:16" ht="24" customHeight="1">
      <c r="A197" s="7"/>
      <c r="B197" s="7"/>
      <c r="C197" s="13" t="str">
        <f>IF(Plan!C24="","",Plan!C24)</f>
        <v/>
      </c>
      <c r="D197" s="13" t="str">
        <f>IF(C197="","",Plan!D24)</f>
        <v/>
      </c>
      <c r="E197" s="33" t="str">
        <f>IF(OR(C197="",Parametry!$G$6=""),"",DATE(Parametry!$G$6,9,1))</f>
        <v/>
      </c>
      <c r="F197" s="34" t="str">
        <f>IF(C197="","",Plan!S24)</f>
        <v/>
      </c>
      <c r="G197" s="34" t="str">
        <f>IF(C197="","",SUMIFS(ERP!$I$9:$I$1008,ERP!$L$9:$L$1008,C197,ERP!$N$9:$N$1008,1,ERP!$M$9:$M$1008,9))</f>
        <v/>
      </c>
      <c r="H197" s="34" t="str">
        <f>IF(C197="","",IF(9&lt;=Parametry!$G$7,0,SUMIFS(Umowy!$N$9:$N$108,Umowy!$D$9:$D$108,C197,Umowy!$O$9:$O$108,9)))</f>
        <v/>
      </c>
      <c r="I197" s="34" t="str">
        <f>IF(C197="","",IF(9&lt;=Parametry!$G$7,0,IF(COUNTIFS(Prognoza!$C$9:$C$38,C197)=1,IF(ISBLANK(INDEX(Prognoza!$K$9:$V$38,MATCH($C197,Prognoza!$C$9:$C$38,0),9)),"",IF(ISNUMBER(INDEX(Prognoza!$K$9:$V$38,MATCH($C197,Prognoza!$C$9:$C$38,0),9)),INDEX(Prognoza!$K$9:$V$38,MATCH($C197,Prognoza!$C$9:$C$38,0),9),"")),"")))</f>
        <v/>
      </c>
      <c r="J197" s="35" t="str">
        <f>IF(C197="","",IF(Plan!F24="Run",IF(ISNUMBER(INDEX(Parametry!$H$18:$S$18,1,9)),INDEX(Parametry!$H$18:$S$18,1,9),""),IF(ISNUMBER(INDEX(Parametry!$H$24:$S$24,1,9)),INDEX(Parametry!$H$24:$S$24,1,9),"")))</f>
        <v/>
      </c>
      <c r="K197" s="34" t="str">
        <f>IF(C197="","",IF(9&lt;=Parametry!$G$7,0,IF(AND(ISNUMBER(I197),ISNUMBER(J197),J197&gt;=-1),I197*(1+J197),"")))</f>
        <v/>
      </c>
      <c r="L197" s="34" t="str">
        <f>IF(C197="","",IF(9&lt;=Parametry!$G$7,G197,IF(ISNUMBER(K197),H197+K197,"")))</f>
        <v/>
      </c>
      <c r="M197" s="22" t="str">
        <f t="shared" si="4"/>
        <v/>
      </c>
      <c r="N197" s="7">
        <f t="shared" si="5"/>
        <v>0</v>
      </c>
      <c r="O197" s="7"/>
      <c r="P197" s="7"/>
    </row>
    <row r="198" spans="1:16" ht="24" customHeight="1">
      <c r="A198" s="7"/>
      <c r="B198" s="7"/>
      <c r="C198" s="13" t="str">
        <f>IF(Plan!C24="","",Plan!C24)</f>
        <v/>
      </c>
      <c r="D198" s="13" t="str">
        <f>IF(C198="","",Plan!D24)</f>
        <v/>
      </c>
      <c r="E198" s="33" t="str">
        <f>IF(OR(C198="",Parametry!$G$6=""),"",DATE(Parametry!$G$6,10,1))</f>
        <v/>
      </c>
      <c r="F198" s="34" t="str">
        <f>IF(C198="","",Plan!T24)</f>
        <v/>
      </c>
      <c r="G198" s="34" t="str">
        <f>IF(C198="","",SUMIFS(ERP!$I$9:$I$1008,ERP!$L$9:$L$1008,C198,ERP!$N$9:$N$1008,1,ERP!$M$9:$M$1008,10))</f>
        <v/>
      </c>
      <c r="H198" s="34" t="str">
        <f>IF(C198="","",IF(10&lt;=Parametry!$G$7,0,SUMIFS(Umowy!$N$9:$N$108,Umowy!$D$9:$D$108,C198,Umowy!$O$9:$O$108,10)))</f>
        <v/>
      </c>
      <c r="I198" s="34" t="str">
        <f>IF(C198="","",IF(10&lt;=Parametry!$G$7,0,IF(COUNTIFS(Prognoza!$C$9:$C$38,C198)=1,IF(ISBLANK(INDEX(Prognoza!$K$9:$V$38,MATCH($C198,Prognoza!$C$9:$C$38,0),10)),"",IF(ISNUMBER(INDEX(Prognoza!$K$9:$V$38,MATCH($C198,Prognoza!$C$9:$C$38,0),10)),INDEX(Prognoza!$K$9:$V$38,MATCH($C198,Prognoza!$C$9:$C$38,0),10),"")),"")))</f>
        <v/>
      </c>
      <c r="J198" s="35" t="str">
        <f>IF(C198="","",IF(Plan!F24="Run",IF(ISNUMBER(INDEX(Parametry!$H$18:$S$18,1,10)),INDEX(Parametry!$H$18:$S$18,1,10),""),IF(ISNUMBER(INDEX(Parametry!$H$24:$S$24,1,10)),INDEX(Parametry!$H$24:$S$24,1,10),"")))</f>
        <v/>
      </c>
      <c r="K198" s="34" t="str">
        <f>IF(C198="","",IF(10&lt;=Parametry!$G$7,0,IF(AND(ISNUMBER(I198),ISNUMBER(J198),J198&gt;=-1),I198*(1+J198),"")))</f>
        <v/>
      </c>
      <c r="L198" s="34" t="str">
        <f>IF(C198="","",IF(10&lt;=Parametry!$G$7,G198,IF(ISNUMBER(K198),H198+K198,"")))</f>
        <v/>
      </c>
      <c r="M198" s="22" t="str">
        <f t="shared" si="4"/>
        <v/>
      </c>
      <c r="N198" s="7">
        <f t="shared" si="5"/>
        <v>0</v>
      </c>
      <c r="O198" s="7"/>
      <c r="P198" s="7"/>
    </row>
    <row r="199" spans="1:16" ht="24" customHeight="1">
      <c r="A199" s="7"/>
      <c r="B199" s="7"/>
      <c r="C199" s="13" t="str">
        <f>IF(Plan!C24="","",Plan!C24)</f>
        <v/>
      </c>
      <c r="D199" s="13" t="str">
        <f>IF(C199="","",Plan!D24)</f>
        <v/>
      </c>
      <c r="E199" s="33" t="str">
        <f>IF(OR(C199="",Parametry!$G$6=""),"",DATE(Parametry!$G$6,11,1))</f>
        <v/>
      </c>
      <c r="F199" s="34" t="str">
        <f>IF(C199="","",Plan!U24)</f>
        <v/>
      </c>
      <c r="G199" s="34" t="str">
        <f>IF(C199="","",SUMIFS(ERP!$I$9:$I$1008,ERP!$L$9:$L$1008,C199,ERP!$N$9:$N$1008,1,ERP!$M$9:$M$1008,11))</f>
        <v/>
      </c>
      <c r="H199" s="34" t="str">
        <f>IF(C199="","",IF(11&lt;=Parametry!$G$7,0,SUMIFS(Umowy!$N$9:$N$108,Umowy!$D$9:$D$108,C199,Umowy!$O$9:$O$108,11)))</f>
        <v/>
      </c>
      <c r="I199" s="34" t="str">
        <f>IF(C199="","",IF(11&lt;=Parametry!$G$7,0,IF(COUNTIFS(Prognoza!$C$9:$C$38,C199)=1,IF(ISBLANK(INDEX(Prognoza!$K$9:$V$38,MATCH($C199,Prognoza!$C$9:$C$38,0),11)),"",IF(ISNUMBER(INDEX(Prognoza!$K$9:$V$38,MATCH($C199,Prognoza!$C$9:$C$38,0),11)),INDEX(Prognoza!$K$9:$V$38,MATCH($C199,Prognoza!$C$9:$C$38,0),11),"")),"")))</f>
        <v/>
      </c>
      <c r="J199" s="35" t="str">
        <f>IF(C199="","",IF(Plan!F24="Run",IF(ISNUMBER(INDEX(Parametry!$H$18:$S$18,1,11)),INDEX(Parametry!$H$18:$S$18,1,11),""),IF(ISNUMBER(INDEX(Parametry!$H$24:$S$24,1,11)),INDEX(Parametry!$H$24:$S$24,1,11),"")))</f>
        <v/>
      </c>
      <c r="K199" s="34" t="str">
        <f>IF(C199="","",IF(11&lt;=Parametry!$G$7,0,IF(AND(ISNUMBER(I199),ISNUMBER(J199),J199&gt;=-1),I199*(1+J199),"")))</f>
        <v/>
      </c>
      <c r="L199" s="34" t="str">
        <f>IF(C199="","",IF(11&lt;=Parametry!$G$7,G199,IF(ISNUMBER(K199),H199+K199,"")))</f>
        <v/>
      </c>
      <c r="M199" s="22" t="str">
        <f t="shared" si="4"/>
        <v/>
      </c>
      <c r="N199" s="7">
        <f t="shared" si="5"/>
        <v>0</v>
      </c>
      <c r="O199" s="7"/>
      <c r="P199" s="7"/>
    </row>
    <row r="200" spans="1:16" ht="24" customHeight="1">
      <c r="A200" s="7"/>
      <c r="B200" s="7"/>
      <c r="C200" s="13" t="str">
        <f>IF(Plan!C24="","",Plan!C24)</f>
        <v/>
      </c>
      <c r="D200" s="13" t="str">
        <f>IF(C200="","",Plan!D24)</f>
        <v/>
      </c>
      <c r="E200" s="33" t="str">
        <f>IF(OR(C200="",Parametry!$G$6=""),"",DATE(Parametry!$G$6,12,1))</f>
        <v/>
      </c>
      <c r="F200" s="34" t="str">
        <f>IF(C200="","",Plan!V24)</f>
        <v/>
      </c>
      <c r="G200" s="34" t="str">
        <f>IF(C200="","",SUMIFS(ERP!$I$9:$I$1008,ERP!$L$9:$L$1008,C200,ERP!$N$9:$N$1008,1,ERP!$M$9:$M$1008,12))</f>
        <v/>
      </c>
      <c r="H200" s="34" t="str">
        <f>IF(C200="","",IF(12&lt;=Parametry!$G$7,0,SUMIFS(Umowy!$N$9:$N$108,Umowy!$D$9:$D$108,C200,Umowy!$O$9:$O$108,12)))</f>
        <v/>
      </c>
      <c r="I200" s="34" t="str">
        <f>IF(C200="","",IF(12&lt;=Parametry!$G$7,0,IF(COUNTIFS(Prognoza!$C$9:$C$38,C200)=1,IF(ISBLANK(INDEX(Prognoza!$K$9:$V$38,MATCH($C200,Prognoza!$C$9:$C$38,0),12)),"",IF(ISNUMBER(INDEX(Prognoza!$K$9:$V$38,MATCH($C200,Prognoza!$C$9:$C$38,0),12)),INDEX(Prognoza!$K$9:$V$38,MATCH($C200,Prognoza!$C$9:$C$38,0),12),"")),"")))</f>
        <v/>
      </c>
      <c r="J200" s="35" t="str">
        <f>IF(C200="","",IF(Plan!F24="Run",IF(ISNUMBER(INDEX(Parametry!$H$18:$S$18,1,12)),INDEX(Parametry!$H$18:$S$18,1,12),""),IF(ISNUMBER(INDEX(Parametry!$H$24:$S$24,1,12)),INDEX(Parametry!$H$24:$S$24,1,12),"")))</f>
        <v/>
      </c>
      <c r="K200" s="34" t="str">
        <f>IF(C200="","",IF(12&lt;=Parametry!$G$7,0,IF(AND(ISNUMBER(I200),ISNUMBER(J200),J200&gt;=-1),I200*(1+J200),"")))</f>
        <v/>
      </c>
      <c r="L200" s="34" t="str">
        <f>IF(C200="","",IF(12&lt;=Parametry!$G$7,G200,IF(ISNUMBER(K200),H200+K200,"")))</f>
        <v/>
      </c>
      <c r="M200" s="22" t="str">
        <f t="shared" si="4"/>
        <v/>
      </c>
      <c r="N200" s="7">
        <f t="shared" si="5"/>
        <v>0</v>
      </c>
      <c r="O200" s="7"/>
      <c r="P200" s="7"/>
    </row>
    <row r="201" spans="1:16" ht="24" customHeight="1">
      <c r="A201" s="7"/>
      <c r="B201" s="7"/>
      <c r="C201" s="13" t="str">
        <f>IF(Plan!C25="","",Plan!C25)</f>
        <v/>
      </c>
      <c r="D201" s="13" t="str">
        <f>IF(C201="","",Plan!D25)</f>
        <v/>
      </c>
      <c r="E201" s="33" t="str">
        <f>IF(OR(C201="",Parametry!$G$6=""),"",DATE(Parametry!$G$6,1,1))</f>
        <v/>
      </c>
      <c r="F201" s="34" t="str">
        <f>IF(C201="","",Plan!K25)</f>
        <v/>
      </c>
      <c r="G201" s="34" t="str">
        <f>IF(C201="","",SUMIFS(ERP!$I$9:$I$1008,ERP!$L$9:$L$1008,C201,ERP!$N$9:$N$1008,1,ERP!$M$9:$M$1008,1))</f>
        <v/>
      </c>
      <c r="H201" s="34" t="str">
        <f>IF(C201="","",IF(1&lt;=Parametry!$G$7,0,SUMIFS(Umowy!$N$9:$N$108,Umowy!$D$9:$D$108,C201,Umowy!$O$9:$O$108,1)))</f>
        <v/>
      </c>
      <c r="I201" s="34" t="str">
        <f>IF(C201="","",IF(1&lt;=Parametry!$G$7,0,IF(COUNTIFS(Prognoza!$C$9:$C$38,C201)=1,IF(ISBLANK(INDEX(Prognoza!$K$9:$V$38,MATCH($C201,Prognoza!$C$9:$C$38,0),1)),"",IF(ISNUMBER(INDEX(Prognoza!$K$9:$V$38,MATCH($C201,Prognoza!$C$9:$C$38,0),1)),INDEX(Prognoza!$K$9:$V$38,MATCH($C201,Prognoza!$C$9:$C$38,0),1),"")),"")))</f>
        <v/>
      </c>
      <c r="J201" s="35" t="str">
        <f>IF(C201="","",IF(Plan!F25="Run",IF(ISNUMBER(INDEX(Parametry!$H$18:$S$18,1,1)),INDEX(Parametry!$H$18:$S$18,1,1),""),IF(ISNUMBER(INDEX(Parametry!$H$24:$S$24,1,1)),INDEX(Parametry!$H$24:$S$24,1,1),"")))</f>
        <v/>
      </c>
      <c r="K201" s="34" t="str">
        <f>IF(C201="","",IF(1&lt;=Parametry!$G$7,0,IF(AND(ISNUMBER(I201),ISNUMBER(J201),J201&gt;=-1),I201*(1+J201),"")))</f>
        <v/>
      </c>
      <c r="L201" s="34" t="str">
        <f>IF(C201="","",IF(1&lt;=Parametry!$G$7,G201,IF(ISNUMBER(K201),H201+K201,"")))</f>
        <v/>
      </c>
      <c r="M201" s="22" t="str">
        <f t="shared" ref="M201:M264" si="6">IF(AND(C201&lt;&gt;"",ISNUMBER(L201)),L201-F201,"")</f>
        <v/>
      </c>
      <c r="N201" s="7">
        <f t="shared" ref="N201:N264" si="7">IF(C201="",0,IF(ISNUMBER(L201),0,1))</f>
        <v>0</v>
      </c>
      <c r="O201" s="7"/>
      <c r="P201" s="7"/>
    </row>
    <row r="202" spans="1:16" ht="24" customHeight="1">
      <c r="A202" s="7"/>
      <c r="B202" s="7"/>
      <c r="C202" s="13" t="str">
        <f>IF(Plan!C25="","",Plan!C25)</f>
        <v/>
      </c>
      <c r="D202" s="13" t="str">
        <f>IF(C202="","",Plan!D25)</f>
        <v/>
      </c>
      <c r="E202" s="33" t="str">
        <f>IF(OR(C202="",Parametry!$G$6=""),"",DATE(Parametry!$G$6,2,1))</f>
        <v/>
      </c>
      <c r="F202" s="34" t="str">
        <f>IF(C202="","",Plan!L25)</f>
        <v/>
      </c>
      <c r="G202" s="34" t="str">
        <f>IF(C202="","",SUMIFS(ERP!$I$9:$I$1008,ERP!$L$9:$L$1008,C202,ERP!$N$9:$N$1008,1,ERP!$M$9:$M$1008,2))</f>
        <v/>
      </c>
      <c r="H202" s="34" t="str">
        <f>IF(C202="","",IF(2&lt;=Parametry!$G$7,0,SUMIFS(Umowy!$N$9:$N$108,Umowy!$D$9:$D$108,C202,Umowy!$O$9:$O$108,2)))</f>
        <v/>
      </c>
      <c r="I202" s="34" t="str">
        <f>IF(C202="","",IF(2&lt;=Parametry!$G$7,0,IF(COUNTIFS(Prognoza!$C$9:$C$38,C202)=1,IF(ISBLANK(INDEX(Prognoza!$K$9:$V$38,MATCH($C202,Prognoza!$C$9:$C$38,0),2)),"",IF(ISNUMBER(INDEX(Prognoza!$K$9:$V$38,MATCH($C202,Prognoza!$C$9:$C$38,0),2)),INDEX(Prognoza!$K$9:$V$38,MATCH($C202,Prognoza!$C$9:$C$38,0),2),"")),"")))</f>
        <v/>
      </c>
      <c r="J202" s="35" t="str">
        <f>IF(C202="","",IF(Plan!F25="Run",IF(ISNUMBER(INDEX(Parametry!$H$18:$S$18,1,2)),INDEX(Parametry!$H$18:$S$18,1,2),""),IF(ISNUMBER(INDEX(Parametry!$H$24:$S$24,1,2)),INDEX(Parametry!$H$24:$S$24,1,2),"")))</f>
        <v/>
      </c>
      <c r="K202" s="34" t="str">
        <f>IF(C202="","",IF(2&lt;=Parametry!$G$7,0,IF(AND(ISNUMBER(I202),ISNUMBER(J202),J202&gt;=-1),I202*(1+J202),"")))</f>
        <v/>
      </c>
      <c r="L202" s="34" t="str">
        <f>IF(C202="","",IF(2&lt;=Parametry!$G$7,G202,IF(ISNUMBER(K202),H202+K202,"")))</f>
        <v/>
      </c>
      <c r="M202" s="22" t="str">
        <f t="shared" si="6"/>
        <v/>
      </c>
      <c r="N202" s="7">
        <f t="shared" si="7"/>
        <v>0</v>
      </c>
      <c r="O202" s="7"/>
      <c r="P202" s="7"/>
    </row>
    <row r="203" spans="1:16" ht="24" customHeight="1">
      <c r="A203" s="7"/>
      <c r="B203" s="7"/>
      <c r="C203" s="13" t="str">
        <f>IF(Plan!C25="","",Plan!C25)</f>
        <v/>
      </c>
      <c r="D203" s="13" t="str">
        <f>IF(C203="","",Plan!D25)</f>
        <v/>
      </c>
      <c r="E203" s="33" t="str">
        <f>IF(OR(C203="",Parametry!$G$6=""),"",DATE(Parametry!$G$6,3,1))</f>
        <v/>
      </c>
      <c r="F203" s="34" t="str">
        <f>IF(C203="","",Plan!M25)</f>
        <v/>
      </c>
      <c r="G203" s="34" t="str">
        <f>IF(C203="","",SUMIFS(ERP!$I$9:$I$1008,ERP!$L$9:$L$1008,C203,ERP!$N$9:$N$1008,1,ERP!$M$9:$M$1008,3))</f>
        <v/>
      </c>
      <c r="H203" s="34" t="str">
        <f>IF(C203="","",IF(3&lt;=Parametry!$G$7,0,SUMIFS(Umowy!$N$9:$N$108,Umowy!$D$9:$D$108,C203,Umowy!$O$9:$O$108,3)))</f>
        <v/>
      </c>
      <c r="I203" s="34" t="str">
        <f>IF(C203="","",IF(3&lt;=Parametry!$G$7,0,IF(COUNTIFS(Prognoza!$C$9:$C$38,C203)=1,IF(ISBLANK(INDEX(Prognoza!$K$9:$V$38,MATCH($C203,Prognoza!$C$9:$C$38,0),3)),"",IF(ISNUMBER(INDEX(Prognoza!$K$9:$V$38,MATCH($C203,Prognoza!$C$9:$C$38,0),3)),INDEX(Prognoza!$K$9:$V$38,MATCH($C203,Prognoza!$C$9:$C$38,0),3),"")),"")))</f>
        <v/>
      </c>
      <c r="J203" s="35" t="str">
        <f>IF(C203="","",IF(Plan!F25="Run",IF(ISNUMBER(INDEX(Parametry!$H$18:$S$18,1,3)),INDEX(Parametry!$H$18:$S$18,1,3),""),IF(ISNUMBER(INDEX(Parametry!$H$24:$S$24,1,3)),INDEX(Parametry!$H$24:$S$24,1,3),"")))</f>
        <v/>
      </c>
      <c r="K203" s="34" t="str">
        <f>IF(C203="","",IF(3&lt;=Parametry!$G$7,0,IF(AND(ISNUMBER(I203),ISNUMBER(J203),J203&gt;=-1),I203*(1+J203),"")))</f>
        <v/>
      </c>
      <c r="L203" s="34" t="str">
        <f>IF(C203="","",IF(3&lt;=Parametry!$G$7,G203,IF(ISNUMBER(K203),H203+K203,"")))</f>
        <v/>
      </c>
      <c r="M203" s="22" t="str">
        <f t="shared" si="6"/>
        <v/>
      </c>
      <c r="N203" s="7">
        <f t="shared" si="7"/>
        <v>0</v>
      </c>
      <c r="O203" s="7"/>
      <c r="P203" s="7"/>
    </row>
    <row r="204" spans="1:16" ht="24" customHeight="1">
      <c r="A204" s="7"/>
      <c r="B204" s="7"/>
      <c r="C204" s="13" t="str">
        <f>IF(Plan!C25="","",Plan!C25)</f>
        <v/>
      </c>
      <c r="D204" s="13" t="str">
        <f>IF(C204="","",Plan!D25)</f>
        <v/>
      </c>
      <c r="E204" s="33" t="str">
        <f>IF(OR(C204="",Parametry!$G$6=""),"",DATE(Parametry!$G$6,4,1))</f>
        <v/>
      </c>
      <c r="F204" s="34" t="str">
        <f>IF(C204="","",Plan!N25)</f>
        <v/>
      </c>
      <c r="G204" s="34" t="str">
        <f>IF(C204="","",SUMIFS(ERP!$I$9:$I$1008,ERP!$L$9:$L$1008,C204,ERP!$N$9:$N$1008,1,ERP!$M$9:$M$1008,4))</f>
        <v/>
      </c>
      <c r="H204" s="34" t="str">
        <f>IF(C204="","",IF(4&lt;=Parametry!$G$7,0,SUMIFS(Umowy!$N$9:$N$108,Umowy!$D$9:$D$108,C204,Umowy!$O$9:$O$108,4)))</f>
        <v/>
      </c>
      <c r="I204" s="34" t="str">
        <f>IF(C204="","",IF(4&lt;=Parametry!$G$7,0,IF(COUNTIFS(Prognoza!$C$9:$C$38,C204)=1,IF(ISBLANK(INDEX(Prognoza!$K$9:$V$38,MATCH($C204,Prognoza!$C$9:$C$38,0),4)),"",IF(ISNUMBER(INDEX(Prognoza!$K$9:$V$38,MATCH($C204,Prognoza!$C$9:$C$38,0),4)),INDEX(Prognoza!$K$9:$V$38,MATCH($C204,Prognoza!$C$9:$C$38,0),4),"")),"")))</f>
        <v/>
      </c>
      <c r="J204" s="35" t="str">
        <f>IF(C204="","",IF(Plan!F25="Run",IF(ISNUMBER(INDEX(Parametry!$H$18:$S$18,1,4)),INDEX(Parametry!$H$18:$S$18,1,4),""),IF(ISNUMBER(INDEX(Parametry!$H$24:$S$24,1,4)),INDEX(Parametry!$H$24:$S$24,1,4),"")))</f>
        <v/>
      </c>
      <c r="K204" s="34" t="str">
        <f>IF(C204="","",IF(4&lt;=Parametry!$G$7,0,IF(AND(ISNUMBER(I204),ISNUMBER(J204),J204&gt;=-1),I204*(1+J204),"")))</f>
        <v/>
      </c>
      <c r="L204" s="34" t="str">
        <f>IF(C204="","",IF(4&lt;=Parametry!$G$7,G204,IF(ISNUMBER(K204),H204+K204,"")))</f>
        <v/>
      </c>
      <c r="M204" s="22" t="str">
        <f t="shared" si="6"/>
        <v/>
      </c>
      <c r="N204" s="7">
        <f t="shared" si="7"/>
        <v>0</v>
      </c>
      <c r="O204" s="7"/>
      <c r="P204" s="7"/>
    </row>
    <row r="205" spans="1:16" ht="24" customHeight="1">
      <c r="A205" s="7"/>
      <c r="B205" s="7"/>
      <c r="C205" s="13" t="str">
        <f>IF(Plan!C25="","",Plan!C25)</f>
        <v/>
      </c>
      <c r="D205" s="13" t="str">
        <f>IF(C205="","",Plan!D25)</f>
        <v/>
      </c>
      <c r="E205" s="33" t="str">
        <f>IF(OR(C205="",Parametry!$G$6=""),"",DATE(Parametry!$G$6,5,1))</f>
        <v/>
      </c>
      <c r="F205" s="34" t="str">
        <f>IF(C205="","",Plan!O25)</f>
        <v/>
      </c>
      <c r="G205" s="34" t="str">
        <f>IF(C205="","",SUMIFS(ERP!$I$9:$I$1008,ERP!$L$9:$L$1008,C205,ERP!$N$9:$N$1008,1,ERP!$M$9:$M$1008,5))</f>
        <v/>
      </c>
      <c r="H205" s="34" t="str">
        <f>IF(C205="","",IF(5&lt;=Parametry!$G$7,0,SUMIFS(Umowy!$N$9:$N$108,Umowy!$D$9:$D$108,C205,Umowy!$O$9:$O$108,5)))</f>
        <v/>
      </c>
      <c r="I205" s="34" t="str">
        <f>IF(C205="","",IF(5&lt;=Parametry!$G$7,0,IF(COUNTIFS(Prognoza!$C$9:$C$38,C205)=1,IF(ISBLANK(INDEX(Prognoza!$K$9:$V$38,MATCH($C205,Prognoza!$C$9:$C$38,0),5)),"",IF(ISNUMBER(INDEX(Prognoza!$K$9:$V$38,MATCH($C205,Prognoza!$C$9:$C$38,0),5)),INDEX(Prognoza!$K$9:$V$38,MATCH($C205,Prognoza!$C$9:$C$38,0),5),"")),"")))</f>
        <v/>
      </c>
      <c r="J205" s="35" t="str">
        <f>IF(C205="","",IF(Plan!F25="Run",IF(ISNUMBER(INDEX(Parametry!$H$18:$S$18,1,5)),INDEX(Parametry!$H$18:$S$18,1,5),""),IF(ISNUMBER(INDEX(Parametry!$H$24:$S$24,1,5)),INDEX(Parametry!$H$24:$S$24,1,5),"")))</f>
        <v/>
      </c>
      <c r="K205" s="34" t="str">
        <f>IF(C205="","",IF(5&lt;=Parametry!$G$7,0,IF(AND(ISNUMBER(I205),ISNUMBER(J205),J205&gt;=-1),I205*(1+J205),"")))</f>
        <v/>
      </c>
      <c r="L205" s="34" t="str">
        <f>IF(C205="","",IF(5&lt;=Parametry!$G$7,G205,IF(ISNUMBER(K205),H205+K205,"")))</f>
        <v/>
      </c>
      <c r="M205" s="22" t="str">
        <f t="shared" si="6"/>
        <v/>
      </c>
      <c r="N205" s="7">
        <f t="shared" si="7"/>
        <v>0</v>
      </c>
      <c r="O205" s="7"/>
      <c r="P205" s="7"/>
    </row>
    <row r="206" spans="1:16" ht="24" customHeight="1">
      <c r="A206" s="7"/>
      <c r="B206" s="7"/>
      <c r="C206" s="13" t="str">
        <f>IF(Plan!C25="","",Plan!C25)</f>
        <v/>
      </c>
      <c r="D206" s="13" t="str">
        <f>IF(C206="","",Plan!D25)</f>
        <v/>
      </c>
      <c r="E206" s="33" t="str">
        <f>IF(OR(C206="",Parametry!$G$6=""),"",DATE(Parametry!$G$6,6,1))</f>
        <v/>
      </c>
      <c r="F206" s="34" t="str">
        <f>IF(C206="","",Plan!P25)</f>
        <v/>
      </c>
      <c r="G206" s="34" t="str">
        <f>IF(C206="","",SUMIFS(ERP!$I$9:$I$1008,ERP!$L$9:$L$1008,C206,ERP!$N$9:$N$1008,1,ERP!$M$9:$M$1008,6))</f>
        <v/>
      </c>
      <c r="H206" s="34" t="str">
        <f>IF(C206="","",IF(6&lt;=Parametry!$G$7,0,SUMIFS(Umowy!$N$9:$N$108,Umowy!$D$9:$D$108,C206,Umowy!$O$9:$O$108,6)))</f>
        <v/>
      </c>
      <c r="I206" s="34" t="str">
        <f>IF(C206="","",IF(6&lt;=Parametry!$G$7,0,IF(COUNTIFS(Prognoza!$C$9:$C$38,C206)=1,IF(ISBLANK(INDEX(Prognoza!$K$9:$V$38,MATCH($C206,Prognoza!$C$9:$C$38,0),6)),"",IF(ISNUMBER(INDEX(Prognoza!$K$9:$V$38,MATCH($C206,Prognoza!$C$9:$C$38,0),6)),INDEX(Prognoza!$K$9:$V$38,MATCH($C206,Prognoza!$C$9:$C$38,0),6),"")),"")))</f>
        <v/>
      </c>
      <c r="J206" s="35" t="str">
        <f>IF(C206="","",IF(Plan!F25="Run",IF(ISNUMBER(INDEX(Parametry!$H$18:$S$18,1,6)),INDEX(Parametry!$H$18:$S$18,1,6),""),IF(ISNUMBER(INDEX(Parametry!$H$24:$S$24,1,6)),INDEX(Parametry!$H$24:$S$24,1,6),"")))</f>
        <v/>
      </c>
      <c r="K206" s="34" t="str">
        <f>IF(C206="","",IF(6&lt;=Parametry!$G$7,0,IF(AND(ISNUMBER(I206),ISNUMBER(J206),J206&gt;=-1),I206*(1+J206),"")))</f>
        <v/>
      </c>
      <c r="L206" s="34" t="str">
        <f>IF(C206="","",IF(6&lt;=Parametry!$G$7,G206,IF(ISNUMBER(K206),H206+K206,"")))</f>
        <v/>
      </c>
      <c r="M206" s="22" t="str">
        <f t="shared" si="6"/>
        <v/>
      </c>
      <c r="N206" s="7">
        <f t="shared" si="7"/>
        <v>0</v>
      </c>
      <c r="O206" s="7"/>
      <c r="P206" s="7"/>
    </row>
    <row r="207" spans="1:16" ht="24" customHeight="1">
      <c r="A207" s="7"/>
      <c r="B207" s="7"/>
      <c r="C207" s="13" t="str">
        <f>IF(Plan!C25="","",Plan!C25)</f>
        <v/>
      </c>
      <c r="D207" s="13" t="str">
        <f>IF(C207="","",Plan!D25)</f>
        <v/>
      </c>
      <c r="E207" s="33" t="str">
        <f>IF(OR(C207="",Parametry!$G$6=""),"",DATE(Parametry!$G$6,7,1))</f>
        <v/>
      </c>
      <c r="F207" s="34" t="str">
        <f>IF(C207="","",Plan!Q25)</f>
        <v/>
      </c>
      <c r="G207" s="34" t="str">
        <f>IF(C207="","",SUMIFS(ERP!$I$9:$I$1008,ERP!$L$9:$L$1008,C207,ERP!$N$9:$N$1008,1,ERP!$M$9:$M$1008,7))</f>
        <v/>
      </c>
      <c r="H207" s="34" t="str">
        <f>IF(C207="","",IF(7&lt;=Parametry!$G$7,0,SUMIFS(Umowy!$N$9:$N$108,Umowy!$D$9:$D$108,C207,Umowy!$O$9:$O$108,7)))</f>
        <v/>
      </c>
      <c r="I207" s="34" t="str">
        <f>IF(C207="","",IF(7&lt;=Parametry!$G$7,0,IF(COUNTIFS(Prognoza!$C$9:$C$38,C207)=1,IF(ISBLANK(INDEX(Prognoza!$K$9:$V$38,MATCH($C207,Prognoza!$C$9:$C$38,0),7)),"",IF(ISNUMBER(INDEX(Prognoza!$K$9:$V$38,MATCH($C207,Prognoza!$C$9:$C$38,0),7)),INDEX(Prognoza!$K$9:$V$38,MATCH($C207,Prognoza!$C$9:$C$38,0),7),"")),"")))</f>
        <v/>
      </c>
      <c r="J207" s="35" t="str">
        <f>IF(C207="","",IF(Plan!F25="Run",IF(ISNUMBER(INDEX(Parametry!$H$18:$S$18,1,7)),INDEX(Parametry!$H$18:$S$18,1,7),""),IF(ISNUMBER(INDEX(Parametry!$H$24:$S$24,1,7)),INDEX(Parametry!$H$24:$S$24,1,7),"")))</f>
        <v/>
      </c>
      <c r="K207" s="34" t="str">
        <f>IF(C207="","",IF(7&lt;=Parametry!$G$7,0,IF(AND(ISNUMBER(I207),ISNUMBER(J207),J207&gt;=-1),I207*(1+J207),"")))</f>
        <v/>
      </c>
      <c r="L207" s="34" t="str">
        <f>IF(C207="","",IF(7&lt;=Parametry!$G$7,G207,IF(ISNUMBER(K207),H207+K207,"")))</f>
        <v/>
      </c>
      <c r="M207" s="22" t="str">
        <f t="shared" si="6"/>
        <v/>
      </c>
      <c r="N207" s="7">
        <f t="shared" si="7"/>
        <v>0</v>
      </c>
      <c r="O207" s="7"/>
      <c r="P207" s="7"/>
    </row>
    <row r="208" spans="1:16" ht="24" customHeight="1">
      <c r="A208" s="7"/>
      <c r="B208" s="7"/>
      <c r="C208" s="13" t="str">
        <f>IF(Plan!C25="","",Plan!C25)</f>
        <v/>
      </c>
      <c r="D208" s="13" t="str">
        <f>IF(C208="","",Plan!D25)</f>
        <v/>
      </c>
      <c r="E208" s="33" t="str">
        <f>IF(OR(C208="",Parametry!$G$6=""),"",DATE(Parametry!$G$6,8,1))</f>
        <v/>
      </c>
      <c r="F208" s="34" t="str">
        <f>IF(C208="","",Plan!R25)</f>
        <v/>
      </c>
      <c r="G208" s="34" t="str">
        <f>IF(C208="","",SUMIFS(ERP!$I$9:$I$1008,ERP!$L$9:$L$1008,C208,ERP!$N$9:$N$1008,1,ERP!$M$9:$M$1008,8))</f>
        <v/>
      </c>
      <c r="H208" s="34" t="str">
        <f>IF(C208="","",IF(8&lt;=Parametry!$G$7,0,SUMIFS(Umowy!$N$9:$N$108,Umowy!$D$9:$D$108,C208,Umowy!$O$9:$O$108,8)))</f>
        <v/>
      </c>
      <c r="I208" s="34" t="str">
        <f>IF(C208="","",IF(8&lt;=Parametry!$G$7,0,IF(COUNTIFS(Prognoza!$C$9:$C$38,C208)=1,IF(ISBLANK(INDEX(Prognoza!$K$9:$V$38,MATCH($C208,Prognoza!$C$9:$C$38,0),8)),"",IF(ISNUMBER(INDEX(Prognoza!$K$9:$V$38,MATCH($C208,Prognoza!$C$9:$C$38,0),8)),INDEX(Prognoza!$K$9:$V$38,MATCH($C208,Prognoza!$C$9:$C$38,0),8),"")),"")))</f>
        <v/>
      </c>
      <c r="J208" s="35" t="str">
        <f>IF(C208="","",IF(Plan!F25="Run",IF(ISNUMBER(INDEX(Parametry!$H$18:$S$18,1,8)),INDEX(Parametry!$H$18:$S$18,1,8),""),IF(ISNUMBER(INDEX(Parametry!$H$24:$S$24,1,8)),INDEX(Parametry!$H$24:$S$24,1,8),"")))</f>
        <v/>
      </c>
      <c r="K208" s="34" t="str">
        <f>IF(C208="","",IF(8&lt;=Parametry!$G$7,0,IF(AND(ISNUMBER(I208),ISNUMBER(J208),J208&gt;=-1),I208*(1+J208),"")))</f>
        <v/>
      </c>
      <c r="L208" s="34" t="str">
        <f>IF(C208="","",IF(8&lt;=Parametry!$G$7,G208,IF(ISNUMBER(K208),H208+K208,"")))</f>
        <v/>
      </c>
      <c r="M208" s="22" t="str">
        <f t="shared" si="6"/>
        <v/>
      </c>
      <c r="N208" s="7">
        <f t="shared" si="7"/>
        <v>0</v>
      </c>
      <c r="O208" s="7"/>
      <c r="P208" s="7"/>
    </row>
    <row r="209" spans="1:16" ht="24" customHeight="1">
      <c r="A209" s="7"/>
      <c r="B209" s="7"/>
      <c r="C209" s="13" t="str">
        <f>IF(Plan!C25="","",Plan!C25)</f>
        <v/>
      </c>
      <c r="D209" s="13" t="str">
        <f>IF(C209="","",Plan!D25)</f>
        <v/>
      </c>
      <c r="E209" s="33" t="str">
        <f>IF(OR(C209="",Parametry!$G$6=""),"",DATE(Parametry!$G$6,9,1))</f>
        <v/>
      </c>
      <c r="F209" s="34" t="str">
        <f>IF(C209="","",Plan!S25)</f>
        <v/>
      </c>
      <c r="G209" s="34" t="str">
        <f>IF(C209="","",SUMIFS(ERP!$I$9:$I$1008,ERP!$L$9:$L$1008,C209,ERP!$N$9:$N$1008,1,ERP!$M$9:$M$1008,9))</f>
        <v/>
      </c>
      <c r="H209" s="34" t="str">
        <f>IF(C209="","",IF(9&lt;=Parametry!$G$7,0,SUMIFS(Umowy!$N$9:$N$108,Umowy!$D$9:$D$108,C209,Umowy!$O$9:$O$108,9)))</f>
        <v/>
      </c>
      <c r="I209" s="34" t="str">
        <f>IF(C209="","",IF(9&lt;=Parametry!$G$7,0,IF(COUNTIFS(Prognoza!$C$9:$C$38,C209)=1,IF(ISBLANK(INDEX(Prognoza!$K$9:$V$38,MATCH($C209,Prognoza!$C$9:$C$38,0),9)),"",IF(ISNUMBER(INDEX(Prognoza!$K$9:$V$38,MATCH($C209,Prognoza!$C$9:$C$38,0),9)),INDEX(Prognoza!$K$9:$V$38,MATCH($C209,Prognoza!$C$9:$C$38,0),9),"")),"")))</f>
        <v/>
      </c>
      <c r="J209" s="35" t="str">
        <f>IF(C209="","",IF(Plan!F25="Run",IF(ISNUMBER(INDEX(Parametry!$H$18:$S$18,1,9)),INDEX(Parametry!$H$18:$S$18,1,9),""),IF(ISNUMBER(INDEX(Parametry!$H$24:$S$24,1,9)),INDEX(Parametry!$H$24:$S$24,1,9),"")))</f>
        <v/>
      </c>
      <c r="K209" s="34" t="str">
        <f>IF(C209="","",IF(9&lt;=Parametry!$G$7,0,IF(AND(ISNUMBER(I209),ISNUMBER(J209),J209&gt;=-1),I209*(1+J209),"")))</f>
        <v/>
      </c>
      <c r="L209" s="34" t="str">
        <f>IF(C209="","",IF(9&lt;=Parametry!$G$7,G209,IF(ISNUMBER(K209),H209+K209,"")))</f>
        <v/>
      </c>
      <c r="M209" s="22" t="str">
        <f t="shared" si="6"/>
        <v/>
      </c>
      <c r="N209" s="7">
        <f t="shared" si="7"/>
        <v>0</v>
      </c>
      <c r="O209" s="7"/>
      <c r="P209" s="7"/>
    </row>
    <row r="210" spans="1:16" ht="24" customHeight="1">
      <c r="A210" s="7"/>
      <c r="B210" s="7"/>
      <c r="C210" s="13" t="str">
        <f>IF(Plan!C25="","",Plan!C25)</f>
        <v/>
      </c>
      <c r="D210" s="13" t="str">
        <f>IF(C210="","",Plan!D25)</f>
        <v/>
      </c>
      <c r="E210" s="33" t="str">
        <f>IF(OR(C210="",Parametry!$G$6=""),"",DATE(Parametry!$G$6,10,1))</f>
        <v/>
      </c>
      <c r="F210" s="34" t="str">
        <f>IF(C210="","",Plan!T25)</f>
        <v/>
      </c>
      <c r="G210" s="34" t="str">
        <f>IF(C210="","",SUMIFS(ERP!$I$9:$I$1008,ERP!$L$9:$L$1008,C210,ERP!$N$9:$N$1008,1,ERP!$M$9:$M$1008,10))</f>
        <v/>
      </c>
      <c r="H210" s="34" t="str">
        <f>IF(C210="","",IF(10&lt;=Parametry!$G$7,0,SUMIFS(Umowy!$N$9:$N$108,Umowy!$D$9:$D$108,C210,Umowy!$O$9:$O$108,10)))</f>
        <v/>
      </c>
      <c r="I210" s="34" t="str">
        <f>IF(C210="","",IF(10&lt;=Parametry!$G$7,0,IF(COUNTIFS(Prognoza!$C$9:$C$38,C210)=1,IF(ISBLANK(INDEX(Prognoza!$K$9:$V$38,MATCH($C210,Prognoza!$C$9:$C$38,0),10)),"",IF(ISNUMBER(INDEX(Prognoza!$K$9:$V$38,MATCH($C210,Prognoza!$C$9:$C$38,0),10)),INDEX(Prognoza!$K$9:$V$38,MATCH($C210,Prognoza!$C$9:$C$38,0),10),"")),"")))</f>
        <v/>
      </c>
      <c r="J210" s="35" t="str">
        <f>IF(C210="","",IF(Plan!F25="Run",IF(ISNUMBER(INDEX(Parametry!$H$18:$S$18,1,10)),INDEX(Parametry!$H$18:$S$18,1,10),""),IF(ISNUMBER(INDEX(Parametry!$H$24:$S$24,1,10)),INDEX(Parametry!$H$24:$S$24,1,10),"")))</f>
        <v/>
      </c>
      <c r="K210" s="34" t="str">
        <f>IF(C210="","",IF(10&lt;=Parametry!$G$7,0,IF(AND(ISNUMBER(I210),ISNUMBER(J210),J210&gt;=-1),I210*(1+J210),"")))</f>
        <v/>
      </c>
      <c r="L210" s="34" t="str">
        <f>IF(C210="","",IF(10&lt;=Parametry!$G$7,G210,IF(ISNUMBER(K210),H210+K210,"")))</f>
        <v/>
      </c>
      <c r="M210" s="22" t="str">
        <f t="shared" si="6"/>
        <v/>
      </c>
      <c r="N210" s="7">
        <f t="shared" si="7"/>
        <v>0</v>
      </c>
      <c r="O210" s="7"/>
      <c r="P210" s="7"/>
    </row>
    <row r="211" spans="1:16" ht="24" customHeight="1">
      <c r="A211" s="7"/>
      <c r="B211" s="7"/>
      <c r="C211" s="13" t="str">
        <f>IF(Plan!C25="","",Plan!C25)</f>
        <v/>
      </c>
      <c r="D211" s="13" t="str">
        <f>IF(C211="","",Plan!D25)</f>
        <v/>
      </c>
      <c r="E211" s="33" t="str">
        <f>IF(OR(C211="",Parametry!$G$6=""),"",DATE(Parametry!$G$6,11,1))</f>
        <v/>
      </c>
      <c r="F211" s="34" t="str">
        <f>IF(C211="","",Plan!U25)</f>
        <v/>
      </c>
      <c r="G211" s="34" t="str">
        <f>IF(C211="","",SUMIFS(ERP!$I$9:$I$1008,ERP!$L$9:$L$1008,C211,ERP!$N$9:$N$1008,1,ERP!$M$9:$M$1008,11))</f>
        <v/>
      </c>
      <c r="H211" s="34" t="str">
        <f>IF(C211="","",IF(11&lt;=Parametry!$G$7,0,SUMIFS(Umowy!$N$9:$N$108,Umowy!$D$9:$D$108,C211,Umowy!$O$9:$O$108,11)))</f>
        <v/>
      </c>
      <c r="I211" s="34" t="str">
        <f>IF(C211="","",IF(11&lt;=Parametry!$G$7,0,IF(COUNTIFS(Prognoza!$C$9:$C$38,C211)=1,IF(ISBLANK(INDEX(Prognoza!$K$9:$V$38,MATCH($C211,Prognoza!$C$9:$C$38,0),11)),"",IF(ISNUMBER(INDEX(Prognoza!$K$9:$V$38,MATCH($C211,Prognoza!$C$9:$C$38,0),11)),INDEX(Prognoza!$K$9:$V$38,MATCH($C211,Prognoza!$C$9:$C$38,0),11),"")),"")))</f>
        <v/>
      </c>
      <c r="J211" s="35" t="str">
        <f>IF(C211="","",IF(Plan!F25="Run",IF(ISNUMBER(INDEX(Parametry!$H$18:$S$18,1,11)),INDEX(Parametry!$H$18:$S$18,1,11),""),IF(ISNUMBER(INDEX(Parametry!$H$24:$S$24,1,11)),INDEX(Parametry!$H$24:$S$24,1,11),"")))</f>
        <v/>
      </c>
      <c r="K211" s="34" t="str">
        <f>IF(C211="","",IF(11&lt;=Parametry!$G$7,0,IF(AND(ISNUMBER(I211),ISNUMBER(J211),J211&gt;=-1),I211*(1+J211),"")))</f>
        <v/>
      </c>
      <c r="L211" s="34" t="str">
        <f>IF(C211="","",IF(11&lt;=Parametry!$G$7,G211,IF(ISNUMBER(K211),H211+K211,"")))</f>
        <v/>
      </c>
      <c r="M211" s="22" t="str">
        <f t="shared" si="6"/>
        <v/>
      </c>
      <c r="N211" s="7">
        <f t="shared" si="7"/>
        <v>0</v>
      </c>
      <c r="O211" s="7"/>
      <c r="P211" s="7"/>
    </row>
    <row r="212" spans="1:16" ht="24" customHeight="1">
      <c r="A212" s="7"/>
      <c r="B212" s="7"/>
      <c r="C212" s="13" t="str">
        <f>IF(Plan!C25="","",Plan!C25)</f>
        <v/>
      </c>
      <c r="D212" s="13" t="str">
        <f>IF(C212="","",Plan!D25)</f>
        <v/>
      </c>
      <c r="E212" s="33" t="str">
        <f>IF(OR(C212="",Parametry!$G$6=""),"",DATE(Parametry!$G$6,12,1))</f>
        <v/>
      </c>
      <c r="F212" s="34" t="str">
        <f>IF(C212="","",Plan!V25)</f>
        <v/>
      </c>
      <c r="G212" s="34" t="str">
        <f>IF(C212="","",SUMIFS(ERP!$I$9:$I$1008,ERP!$L$9:$L$1008,C212,ERP!$N$9:$N$1008,1,ERP!$M$9:$M$1008,12))</f>
        <v/>
      </c>
      <c r="H212" s="34" t="str">
        <f>IF(C212="","",IF(12&lt;=Parametry!$G$7,0,SUMIFS(Umowy!$N$9:$N$108,Umowy!$D$9:$D$108,C212,Umowy!$O$9:$O$108,12)))</f>
        <v/>
      </c>
      <c r="I212" s="34" t="str">
        <f>IF(C212="","",IF(12&lt;=Parametry!$G$7,0,IF(COUNTIFS(Prognoza!$C$9:$C$38,C212)=1,IF(ISBLANK(INDEX(Prognoza!$K$9:$V$38,MATCH($C212,Prognoza!$C$9:$C$38,0),12)),"",IF(ISNUMBER(INDEX(Prognoza!$K$9:$V$38,MATCH($C212,Prognoza!$C$9:$C$38,0),12)),INDEX(Prognoza!$K$9:$V$38,MATCH($C212,Prognoza!$C$9:$C$38,0),12),"")),"")))</f>
        <v/>
      </c>
      <c r="J212" s="35" t="str">
        <f>IF(C212="","",IF(Plan!F25="Run",IF(ISNUMBER(INDEX(Parametry!$H$18:$S$18,1,12)),INDEX(Parametry!$H$18:$S$18,1,12),""),IF(ISNUMBER(INDEX(Parametry!$H$24:$S$24,1,12)),INDEX(Parametry!$H$24:$S$24,1,12),"")))</f>
        <v/>
      </c>
      <c r="K212" s="34" t="str">
        <f>IF(C212="","",IF(12&lt;=Parametry!$G$7,0,IF(AND(ISNUMBER(I212),ISNUMBER(J212),J212&gt;=-1),I212*(1+J212),"")))</f>
        <v/>
      </c>
      <c r="L212" s="34" t="str">
        <f>IF(C212="","",IF(12&lt;=Parametry!$G$7,G212,IF(ISNUMBER(K212),H212+K212,"")))</f>
        <v/>
      </c>
      <c r="M212" s="22" t="str">
        <f t="shared" si="6"/>
        <v/>
      </c>
      <c r="N212" s="7">
        <f t="shared" si="7"/>
        <v>0</v>
      </c>
      <c r="O212" s="7"/>
      <c r="P212" s="7"/>
    </row>
    <row r="213" spans="1:16" ht="24" customHeight="1">
      <c r="A213" s="7"/>
      <c r="B213" s="7"/>
      <c r="C213" s="13" t="str">
        <f>IF(Plan!C26="","",Plan!C26)</f>
        <v/>
      </c>
      <c r="D213" s="13" t="str">
        <f>IF(C213="","",Plan!D26)</f>
        <v/>
      </c>
      <c r="E213" s="33" t="str">
        <f>IF(OR(C213="",Parametry!$G$6=""),"",DATE(Parametry!$G$6,1,1))</f>
        <v/>
      </c>
      <c r="F213" s="34" t="str">
        <f>IF(C213="","",Plan!K26)</f>
        <v/>
      </c>
      <c r="G213" s="34" t="str">
        <f>IF(C213="","",SUMIFS(ERP!$I$9:$I$1008,ERP!$L$9:$L$1008,C213,ERP!$N$9:$N$1008,1,ERP!$M$9:$M$1008,1))</f>
        <v/>
      </c>
      <c r="H213" s="34" t="str">
        <f>IF(C213="","",IF(1&lt;=Parametry!$G$7,0,SUMIFS(Umowy!$N$9:$N$108,Umowy!$D$9:$D$108,C213,Umowy!$O$9:$O$108,1)))</f>
        <v/>
      </c>
      <c r="I213" s="34" t="str">
        <f>IF(C213="","",IF(1&lt;=Parametry!$G$7,0,IF(COUNTIFS(Prognoza!$C$9:$C$38,C213)=1,IF(ISBLANK(INDEX(Prognoza!$K$9:$V$38,MATCH($C213,Prognoza!$C$9:$C$38,0),1)),"",IF(ISNUMBER(INDEX(Prognoza!$K$9:$V$38,MATCH($C213,Prognoza!$C$9:$C$38,0),1)),INDEX(Prognoza!$K$9:$V$38,MATCH($C213,Prognoza!$C$9:$C$38,0),1),"")),"")))</f>
        <v/>
      </c>
      <c r="J213" s="35" t="str">
        <f>IF(C213="","",IF(Plan!F26="Run",IF(ISNUMBER(INDEX(Parametry!$H$18:$S$18,1,1)),INDEX(Parametry!$H$18:$S$18,1,1),""),IF(ISNUMBER(INDEX(Parametry!$H$24:$S$24,1,1)),INDEX(Parametry!$H$24:$S$24,1,1),"")))</f>
        <v/>
      </c>
      <c r="K213" s="34" t="str">
        <f>IF(C213="","",IF(1&lt;=Parametry!$G$7,0,IF(AND(ISNUMBER(I213),ISNUMBER(J213),J213&gt;=-1),I213*(1+J213),"")))</f>
        <v/>
      </c>
      <c r="L213" s="34" t="str">
        <f>IF(C213="","",IF(1&lt;=Parametry!$G$7,G213,IF(ISNUMBER(K213),H213+K213,"")))</f>
        <v/>
      </c>
      <c r="M213" s="22" t="str">
        <f t="shared" si="6"/>
        <v/>
      </c>
      <c r="N213" s="7">
        <f t="shared" si="7"/>
        <v>0</v>
      </c>
      <c r="O213" s="7"/>
      <c r="P213" s="7"/>
    </row>
    <row r="214" spans="1:16" ht="24" customHeight="1">
      <c r="A214" s="7"/>
      <c r="B214" s="7"/>
      <c r="C214" s="13" t="str">
        <f>IF(Plan!C26="","",Plan!C26)</f>
        <v/>
      </c>
      <c r="D214" s="13" t="str">
        <f>IF(C214="","",Plan!D26)</f>
        <v/>
      </c>
      <c r="E214" s="33" t="str">
        <f>IF(OR(C214="",Parametry!$G$6=""),"",DATE(Parametry!$G$6,2,1))</f>
        <v/>
      </c>
      <c r="F214" s="34" t="str">
        <f>IF(C214="","",Plan!L26)</f>
        <v/>
      </c>
      <c r="G214" s="34" t="str">
        <f>IF(C214="","",SUMIFS(ERP!$I$9:$I$1008,ERP!$L$9:$L$1008,C214,ERP!$N$9:$N$1008,1,ERP!$M$9:$M$1008,2))</f>
        <v/>
      </c>
      <c r="H214" s="34" t="str">
        <f>IF(C214="","",IF(2&lt;=Parametry!$G$7,0,SUMIFS(Umowy!$N$9:$N$108,Umowy!$D$9:$D$108,C214,Umowy!$O$9:$O$108,2)))</f>
        <v/>
      </c>
      <c r="I214" s="34" t="str">
        <f>IF(C214="","",IF(2&lt;=Parametry!$G$7,0,IF(COUNTIFS(Prognoza!$C$9:$C$38,C214)=1,IF(ISBLANK(INDEX(Prognoza!$K$9:$V$38,MATCH($C214,Prognoza!$C$9:$C$38,0),2)),"",IF(ISNUMBER(INDEX(Prognoza!$K$9:$V$38,MATCH($C214,Prognoza!$C$9:$C$38,0),2)),INDEX(Prognoza!$K$9:$V$38,MATCH($C214,Prognoza!$C$9:$C$38,0),2),"")),"")))</f>
        <v/>
      </c>
      <c r="J214" s="35" t="str">
        <f>IF(C214="","",IF(Plan!F26="Run",IF(ISNUMBER(INDEX(Parametry!$H$18:$S$18,1,2)),INDEX(Parametry!$H$18:$S$18,1,2),""),IF(ISNUMBER(INDEX(Parametry!$H$24:$S$24,1,2)),INDEX(Parametry!$H$24:$S$24,1,2),"")))</f>
        <v/>
      </c>
      <c r="K214" s="34" t="str">
        <f>IF(C214="","",IF(2&lt;=Parametry!$G$7,0,IF(AND(ISNUMBER(I214),ISNUMBER(J214),J214&gt;=-1),I214*(1+J214),"")))</f>
        <v/>
      </c>
      <c r="L214" s="34" t="str">
        <f>IF(C214="","",IF(2&lt;=Parametry!$G$7,G214,IF(ISNUMBER(K214),H214+K214,"")))</f>
        <v/>
      </c>
      <c r="M214" s="22" t="str">
        <f t="shared" si="6"/>
        <v/>
      </c>
      <c r="N214" s="7">
        <f t="shared" si="7"/>
        <v>0</v>
      </c>
      <c r="O214" s="7"/>
      <c r="P214" s="7"/>
    </row>
    <row r="215" spans="1:16" ht="24" customHeight="1">
      <c r="A215" s="7"/>
      <c r="B215" s="7"/>
      <c r="C215" s="13" t="str">
        <f>IF(Plan!C26="","",Plan!C26)</f>
        <v/>
      </c>
      <c r="D215" s="13" t="str">
        <f>IF(C215="","",Plan!D26)</f>
        <v/>
      </c>
      <c r="E215" s="33" t="str">
        <f>IF(OR(C215="",Parametry!$G$6=""),"",DATE(Parametry!$G$6,3,1))</f>
        <v/>
      </c>
      <c r="F215" s="34" t="str">
        <f>IF(C215="","",Plan!M26)</f>
        <v/>
      </c>
      <c r="G215" s="34" t="str">
        <f>IF(C215="","",SUMIFS(ERP!$I$9:$I$1008,ERP!$L$9:$L$1008,C215,ERP!$N$9:$N$1008,1,ERP!$M$9:$M$1008,3))</f>
        <v/>
      </c>
      <c r="H215" s="34" t="str">
        <f>IF(C215="","",IF(3&lt;=Parametry!$G$7,0,SUMIFS(Umowy!$N$9:$N$108,Umowy!$D$9:$D$108,C215,Umowy!$O$9:$O$108,3)))</f>
        <v/>
      </c>
      <c r="I215" s="34" t="str">
        <f>IF(C215="","",IF(3&lt;=Parametry!$G$7,0,IF(COUNTIFS(Prognoza!$C$9:$C$38,C215)=1,IF(ISBLANK(INDEX(Prognoza!$K$9:$V$38,MATCH($C215,Prognoza!$C$9:$C$38,0),3)),"",IF(ISNUMBER(INDEX(Prognoza!$K$9:$V$38,MATCH($C215,Prognoza!$C$9:$C$38,0),3)),INDEX(Prognoza!$K$9:$V$38,MATCH($C215,Prognoza!$C$9:$C$38,0),3),"")),"")))</f>
        <v/>
      </c>
      <c r="J215" s="35" t="str">
        <f>IF(C215="","",IF(Plan!F26="Run",IF(ISNUMBER(INDEX(Parametry!$H$18:$S$18,1,3)),INDEX(Parametry!$H$18:$S$18,1,3),""),IF(ISNUMBER(INDEX(Parametry!$H$24:$S$24,1,3)),INDEX(Parametry!$H$24:$S$24,1,3),"")))</f>
        <v/>
      </c>
      <c r="K215" s="34" t="str">
        <f>IF(C215="","",IF(3&lt;=Parametry!$G$7,0,IF(AND(ISNUMBER(I215),ISNUMBER(J215),J215&gt;=-1),I215*(1+J215),"")))</f>
        <v/>
      </c>
      <c r="L215" s="34" t="str">
        <f>IF(C215="","",IF(3&lt;=Parametry!$G$7,G215,IF(ISNUMBER(K215),H215+K215,"")))</f>
        <v/>
      </c>
      <c r="M215" s="22" t="str">
        <f t="shared" si="6"/>
        <v/>
      </c>
      <c r="N215" s="7">
        <f t="shared" si="7"/>
        <v>0</v>
      </c>
      <c r="O215" s="7"/>
      <c r="P215" s="7"/>
    </row>
    <row r="216" spans="1:16" ht="24" customHeight="1">
      <c r="A216" s="7"/>
      <c r="B216" s="7"/>
      <c r="C216" s="13" t="str">
        <f>IF(Plan!C26="","",Plan!C26)</f>
        <v/>
      </c>
      <c r="D216" s="13" t="str">
        <f>IF(C216="","",Plan!D26)</f>
        <v/>
      </c>
      <c r="E216" s="33" t="str">
        <f>IF(OR(C216="",Parametry!$G$6=""),"",DATE(Parametry!$G$6,4,1))</f>
        <v/>
      </c>
      <c r="F216" s="34" t="str">
        <f>IF(C216="","",Plan!N26)</f>
        <v/>
      </c>
      <c r="G216" s="34" t="str">
        <f>IF(C216="","",SUMIFS(ERP!$I$9:$I$1008,ERP!$L$9:$L$1008,C216,ERP!$N$9:$N$1008,1,ERP!$M$9:$M$1008,4))</f>
        <v/>
      </c>
      <c r="H216" s="34" t="str">
        <f>IF(C216="","",IF(4&lt;=Parametry!$G$7,0,SUMIFS(Umowy!$N$9:$N$108,Umowy!$D$9:$D$108,C216,Umowy!$O$9:$O$108,4)))</f>
        <v/>
      </c>
      <c r="I216" s="34" t="str">
        <f>IF(C216="","",IF(4&lt;=Parametry!$G$7,0,IF(COUNTIFS(Prognoza!$C$9:$C$38,C216)=1,IF(ISBLANK(INDEX(Prognoza!$K$9:$V$38,MATCH($C216,Prognoza!$C$9:$C$38,0),4)),"",IF(ISNUMBER(INDEX(Prognoza!$K$9:$V$38,MATCH($C216,Prognoza!$C$9:$C$38,0),4)),INDEX(Prognoza!$K$9:$V$38,MATCH($C216,Prognoza!$C$9:$C$38,0),4),"")),"")))</f>
        <v/>
      </c>
      <c r="J216" s="35" t="str">
        <f>IF(C216="","",IF(Plan!F26="Run",IF(ISNUMBER(INDEX(Parametry!$H$18:$S$18,1,4)),INDEX(Parametry!$H$18:$S$18,1,4),""),IF(ISNUMBER(INDEX(Parametry!$H$24:$S$24,1,4)),INDEX(Parametry!$H$24:$S$24,1,4),"")))</f>
        <v/>
      </c>
      <c r="K216" s="34" t="str">
        <f>IF(C216="","",IF(4&lt;=Parametry!$G$7,0,IF(AND(ISNUMBER(I216),ISNUMBER(J216),J216&gt;=-1),I216*(1+J216),"")))</f>
        <v/>
      </c>
      <c r="L216" s="34" t="str">
        <f>IF(C216="","",IF(4&lt;=Parametry!$G$7,G216,IF(ISNUMBER(K216),H216+K216,"")))</f>
        <v/>
      </c>
      <c r="M216" s="22" t="str">
        <f t="shared" si="6"/>
        <v/>
      </c>
      <c r="N216" s="7">
        <f t="shared" si="7"/>
        <v>0</v>
      </c>
      <c r="O216" s="7"/>
      <c r="P216" s="7"/>
    </row>
    <row r="217" spans="1:16" ht="24" customHeight="1">
      <c r="A217" s="7"/>
      <c r="B217" s="7"/>
      <c r="C217" s="13" t="str">
        <f>IF(Plan!C26="","",Plan!C26)</f>
        <v/>
      </c>
      <c r="D217" s="13" t="str">
        <f>IF(C217="","",Plan!D26)</f>
        <v/>
      </c>
      <c r="E217" s="33" t="str">
        <f>IF(OR(C217="",Parametry!$G$6=""),"",DATE(Parametry!$G$6,5,1))</f>
        <v/>
      </c>
      <c r="F217" s="34" t="str">
        <f>IF(C217="","",Plan!O26)</f>
        <v/>
      </c>
      <c r="G217" s="34" t="str">
        <f>IF(C217="","",SUMIFS(ERP!$I$9:$I$1008,ERP!$L$9:$L$1008,C217,ERP!$N$9:$N$1008,1,ERP!$M$9:$M$1008,5))</f>
        <v/>
      </c>
      <c r="H217" s="34" t="str">
        <f>IF(C217="","",IF(5&lt;=Parametry!$G$7,0,SUMIFS(Umowy!$N$9:$N$108,Umowy!$D$9:$D$108,C217,Umowy!$O$9:$O$108,5)))</f>
        <v/>
      </c>
      <c r="I217" s="34" t="str">
        <f>IF(C217="","",IF(5&lt;=Parametry!$G$7,0,IF(COUNTIFS(Prognoza!$C$9:$C$38,C217)=1,IF(ISBLANK(INDEX(Prognoza!$K$9:$V$38,MATCH($C217,Prognoza!$C$9:$C$38,0),5)),"",IF(ISNUMBER(INDEX(Prognoza!$K$9:$V$38,MATCH($C217,Prognoza!$C$9:$C$38,0),5)),INDEX(Prognoza!$K$9:$V$38,MATCH($C217,Prognoza!$C$9:$C$38,0),5),"")),"")))</f>
        <v/>
      </c>
      <c r="J217" s="35" t="str">
        <f>IF(C217="","",IF(Plan!F26="Run",IF(ISNUMBER(INDEX(Parametry!$H$18:$S$18,1,5)),INDEX(Parametry!$H$18:$S$18,1,5),""),IF(ISNUMBER(INDEX(Parametry!$H$24:$S$24,1,5)),INDEX(Parametry!$H$24:$S$24,1,5),"")))</f>
        <v/>
      </c>
      <c r="K217" s="34" t="str">
        <f>IF(C217="","",IF(5&lt;=Parametry!$G$7,0,IF(AND(ISNUMBER(I217),ISNUMBER(J217),J217&gt;=-1),I217*(1+J217),"")))</f>
        <v/>
      </c>
      <c r="L217" s="34" t="str">
        <f>IF(C217="","",IF(5&lt;=Parametry!$G$7,G217,IF(ISNUMBER(K217),H217+K217,"")))</f>
        <v/>
      </c>
      <c r="M217" s="22" t="str">
        <f t="shared" si="6"/>
        <v/>
      </c>
      <c r="N217" s="7">
        <f t="shared" si="7"/>
        <v>0</v>
      </c>
      <c r="O217" s="7"/>
      <c r="P217" s="7"/>
    </row>
    <row r="218" spans="1:16" ht="24" customHeight="1">
      <c r="A218" s="7"/>
      <c r="B218" s="7"/>
      <c r="C218" s="13" t="str">
        <f>IF(Plan!C26="","",Plan!C26)</f>
        <v/>
      </c>
      <c r="D218" s="13" t="str">
        <f>IF(C218="","",Plan!D26)</f>
        <v/>
      </c>
      <c r="E218" s="33" t="str">
        <f>IF(OR(C218="",Parametry!$G$6=""),"",DATE(Parametry!$G$6,6,1))</f>
        <v/>
      </c>
      <c r="F218" s="34" t="str">
        <f>IF(C218="","",Plan!P26)</f>
        <v/>
      </c>
      <c r="G218" s="34" t="str">
        <f>IF(C218="","",SUMIFS(ERP!$I$9:$I$1008,ERP!$L$9:$L$1008,C218,ERP!$N$9:$N$1008,1,ERP!$M$9:$M$1008,6))</f>
        <v/>
      </c>
      <c r="H218" s="34" t="str">
        <f>IF(C218="","",IF(6&lt;=Parametry!$G$7,0,SUMIFS(Umowy!$N$9:$N$108,Umowy!$D$9:$D$108,C218,Umowy!$O$9:$O$108,6)))</f>
        <v/>
      </c>
      <c r="I218" s="34" t="str">
        <f>IF(C218="","",IF(6&lt;=Parametry!$G$7,0,IF(COUNTIFS(Prognoza!$C$9:$C$38,C218)=1,IF(ISBLANK(INDEX(Prognoza!$K$9:$V$38,MATCH($C218,Prognoza!$C$9:$C$38,0),6)),"",IF(ISNUMBER(INDEX(Prognoza!$K$9:$V$38,MATCH($C218,Prognoza!$C$9:$C$38,0),6)),INDEX(Prognoza!$K$9:$V$38,MATCH($C218,Prognoza!$C$9:$C$38,0),6),"")),"")))</f>
        <v/>
      </c>
      <c r="J218" s="35" t="str">
        <f>IF(C218="","",IF(Plan!F26="Run",IF(ISNUMBER(INDEX(Parametry!$H$18:$S$18,1,6)),INDEX(Parametry!$H$18:$S$18,1,6),""),IF(ISNUMBER(INDEX(Parametry!$H$24:$S$24,1,6)),INDEX(Parametry!$H$24:$S$24,1,6),"")))</f>
        <v/>
      </c>
      <c r="K218" s="34" t="str">
        <f>IF(C218="","",IF(6&lt;=Parametry!$G$7,0,IF(AND(ISNUMBER(I218),ISNUMBER(J218),J218&gt;=-1),I218*(1+J218),"")))</f>
        <v/>
      </c>
      <c r="L218" s="34" t="str">
        <f>IF(C218="","",IF(6&lt;=Parametry!$G$7,G218,IF(ISNUMBER(K218),H218+K218,"")))</f>
        <v/>
      </c>
      <c r="M218" s="22" t="str">
        <f t="shared" si="6"/>
        <v/>
      </c>
      <c r="N218" s="7">
        <f t="shared" si="7"/>
        <v>0</v>
      </c>
      <c r="O218" s="7"/>
      <c r="P218" s="7"/>
    </row>
    <row r="219" spans="1:16" ht="24" customHeight="1">
      <c r="A219" s="7"/>
      <c r="B219" s="7"/>
      <c r="C219" s="13" t="str">
        <f>IF(Plan!C26="","",Plan!C26)</f>
        <v/>
      </c>
      <c r="D219" s="13" t="str">
        <f>IF(C219="","",Plan!D26)</f>
        <v/>
      </c>
      <c r="E219" s="33" t="str">
        <f>IF(OR(C219="",Parametry!$G$6=""),"",DATE(Parametry!$G$6,7,1))</f>
        <v/>
      </c>
      <c r="F219" s="34" t="str">
        <f>IF(C219="","",Plan!Q26)</f>
        <v/>
      </c>
      <c r="G219" s="34" t="str">
        <f>IF(C219="","",SUMIFS(ERP!$I$9:$I$1008,ERP!$L$9:$L$1008,C219,ERP!$N$9:$N$1008,1,ERP!$M$9:$M$1008,7))</f>
        <v/>
      </c>
      <c r="H219" s="34" t="str">
        <f>IF(C219="","",IF(7&lt;=Parametry!$G$7,0,SUMIFS(Umowy!$N$9:$N$108,Umowy!$D$9:$D$108,C219,Umowy!$O$9:$O$108,7)))</f>
        <v/>
      </c>
      <c r="I219" s="34" t="str">
        <f>IF(C219="","",IF(7&lt;=Parametry!$G$7,0,IF(COUNTIFS(Prognoza!$C$9:$C$38,C219)=1,IF(ISBLANK(INDEX(Prognoza!$K$9:$V$38,MATCH($C219,Prognoza!$C$9:$C$38,0),7)),"",IF(ISNUMBER(INDEX(Prognoza!$K$9:$V$38,MATCH($C219,Prognoza!$C$9:$C$38,0),7)),INDEX(Prognoza!$K$9:$V$38,MATCH($C219,Prognoza!$C$9:$C$38,0),7),"")),"")))</f>
        <v/>
      </c>
      <c r="J219" s="35" t="str">
        <f>IF(C219="","",IF(Plan!F26="Run",IF(ISNUMBER(INDEX(Parametry!$H$18:$S$18,1,7)),INDEX(Parametry!$H$18:$S$18,1,7),""),IF(ISNUMBER(INDEX(Parametry!$H$24:$S$24,1,7)),INDEX(Parametry!$H$24:$S$24,1,7),"")))</f>
        <v/>
      </c>
      <c r="K219" s="34" t="str">
        <f>IF(C219="","",IF(7&lt;=Parametry!$G$7,0,IF(AND(ISNUMBER(I219),ISNUMBER(J219),J219&gt;=-1),I219*(1+J219),"")))</f>
        <v/>
      </c>
      <c r="L219" s="34" t="str">
        <f>IF(C219="","",IF(7&lt;=Parametry!$G$7,G219,IF(ISNUMBER(K219),H219+K219,"")))</f>
        <v/>
      </c>
      <c r="M219" s="22" t="str">
        <f t="shared" si="6"/>
        <v/>
      </c>
      <c r="N219" s="7">
        <f t="shared" si="7"/>
        <v>0</v>
      </c>
      <c r="O219" s="7"/>
      <c r="P219" s="7"/>
    </row>
    <row r="220" spans="1:16" ht="24" customHeight="1">
      <c r="A220" s="7"/>
      <c r="B220" s="7"/>
      <c r="C220" s="13" t="str">
        <f>IF(Plan!C26="","",Plan!C26)</f>
        <v/>
      </c>
      <c r="D220" s="13" t="str">
        <f>IF(C220="","",Plan!D26)</f>
        <v/>
      </c>
      <c r="E220" s="33" t="str">
        <f>IF(OR(C220="",Parametry!$G$6=""),"",DATE(Parametry!$G$6,8,1))</f>
        <v/>
      </c>
      <c r="F220" s="34" t="str">
        <f>IF(C220="","",Plan!R26)</f>
        <v/>
      </c>
      <c r="G220" s="34" t="str">
        <f>IF(C220="","",SUMIFS(ERP!$I$9:$I$1008,ERP!$L$9:$L$1008,C220,ERP!$N$9:$N$1008,1,ERP!$M$9:$M$1008,8))</f>
        <v/>
      </c>
      <c r="H220" s="34" t="str">
        <f>IF(C220="","",IF(8&lt;=Parametry!$G$7,0,SUMIFS(Umowy!$N$9:$N$108,Umowy!$D$9:$D$108,C220,Umowy!$O$9:$O$108,8)))</f>
        <v/>
      </c>
      <c r="I220" s="34" t="str">
        <f>IF(C220="","",IF(8&lt;=Parametry!$G$7,0,IF(COUNTIFS(Prognoza!$C$9:$C$38,C220)=1,IF(ISBLANK(INDEX(Prognoza!$K$9:$V$38,MATCH($C220,Prognoza!$C$9:$C$38,0),8)),"",IF(ISNUMBER(INDEX(Prognoza!$K$9:$V$38,MATCH($C220,Prognoza!$C$9:$C$38,0),8)),INDEX(Prognoza!$K$9:$V$38,MATCH($C220,Prognoza!$C$9:$C$38,0),8),"")),"")))</f>
        <v/>
      </c>
      <c r="J220" s="35" t="str">
        <f>IF(C220="","",IF(Plan!F26="Run",IF(ISNUMBER(INDEX(Parametry!$H$18:$S$18,1,8)),INDEX(Parametry!$H$18:$S$18,1,8),""),IF(ISNUMBER(INDEX(Parametry!$H$24:$S$24,1,8)),INDEX(Parametry!$H$24:$S$24,1,8),"")))</f>
        <v/>
      </c>
      <c r="K220" s="34" t="str">
        <f>IF(C220="","",IF(8&lt;=Parametry!$G$7,0,IF(AND(ISNUMBER(I220),ISNUMBER(J220),J220&gt;=-1),I220*(1+J220),"")))</f>
        <v/>
      </c>
      <c r="L220" s="34" t="str">
        <f>IF(C220="","",IF(8&lt;=Parametry!$G$7,G220,IF(ISNUMBER(K220),H220+K220,"")))</f>
        <v/>
      </c>
      <c r="M220" s="22" t="str">
        <f t="shared" si="6"/>
        <v/>
      </c>
      <c r="N220" s="7">
        <f t="shared" si="7"/>
        <v>0</v>
      </c>
      <c r="O220" s="7"/>
      <c r="P220" s="7"/>
    </row>
    <row r="221" spans="1:16" ht="24" customHeight="1">
      <c r="A221" s="7"/>
      <c r="B221" s="7"/>
      <c r="C221" s="13" t="str">
        <f>IF(Plan!C26="","",Plan!C26)</f>
        <v/>
      </c>
      <c r="D221" s="13" t="str">
        <f>IF(C221="","",Plan!D26)</f>
        <v/>
      </c>
      <c r="E221" s="33" t="str">
        <f>IF(OR(C221="",Parametry!$G$6=""),"",DATE(Parametry!$G$6,9,1))</f>
        <v/>
      </c>
      <c r="F221" s="34" t="str">
        <f>IF(C221="","",Plan!S26)</f>
        <v/>
      </c>
      <c r="G221" s="34" t="str">
        <f>IF(C221="","",SUMIFS(ERP!$I$9:$I$1008,ERP!$L$9:$L$1008,C221,ERP!$N$9:$N$1008,1,ERP!$M$9:$M$1008,9))</f>
        <v/>
      </c>
      <c r="H221" s="34" t="str">
        <f>IF(C221="","",IF(9&lt;=Parametry!$G$7,0,SUMIFS(Umowy!$N$9:$N$108,Umowy!$D$9:$D$108,C221,Umowy!$O$9:$O$108,9)))</f>
        <v/>
      </c>
      <c r="I221" s="34" t="str">
        <f>IF(C221="","",IF(9&lt;=Parametry!$G$7,0,IF(COUNTIFS(Prognoza!$C$9:$C$38,C221)=1,IF(ISBLANK(INDEX(Prognoza!$K$9:$V$38,MATCH($C221,Prognoza!$C$9:$C$38,0),9)),"",IF(ISNUMBER(INDEX(Prognoza!$K$9:$V$38,MATCH($C221,Prognoza!$C$9:$C$38,0),9)),INDEX(Prognoza!$K$9:$V$38,MATCH($C221,Prognoza!$C$9:$C$38,0),9),"")),"")))</f>
        <v/>
      </c>
      <c r="J221" s="35" t="str">
        <f>IF(C221="","",IF(Plan!F26="Run",IF(ISNUMBER(INDEX(Parametry!$H$18:$S$18,1,9)),INDEX(Parametry!$H$18:$S$18,1,9),""),IF(ISNUMBER(INDEX(Parametry!$H$24:$S$24,1,9)),INDEX(Parametry!$H$24:$S$24,1,9),"")))</f>
        <v/>
      </c>
      <c r="K221" s="34" t="str">
        <f>IF(C221="","",IF(9&lt;=Parametry!$G$7,0,IF(AND(ISNUMBER(I221),ISNUMBER(J221),J221&gt;=-1),I221*(1+J221),"")))</f>
        <v/>
      </c>
      <c r="L221" s="34" t="str">
        <f>IF(C221="","",IF(9&lt;=Parametry!$G$7,G221,IF(ISNUMBER(K221),H221+K221,"")))</f>
        <v/>
      </c>
      <c r="M221" s="22" t="str">
        <f t="shared" si="6"/>
        <v/>
      </c>
      <c r="N221" s="7">
        <f t="shared" si="7"/>
        <v>0</v>
      </c>
      <c r="O221" s="7"/>
      <c r="P221" s="7"/>
    </row>
    <row r="222" spans="1:16" ht="24" customHeight="1">
      <c r="A222" s="7"/>
      <c r="B222" s="7"/>
      <c r="C222" s="13" t="str">
        <f>IF(Plan!C26="","",Plan!C26)</f>
        <v/>
      </c>
      <c r="D222" s="13" t="str">
        <f>IF(C222="","",Plan!D26)</f>
        <v/>
      </c>
      <c r="E222" s="33" t="str">
        <f>IF(OR(C222="",Parametry!$G$6=""),"",DATE(Parametry!$G$6,10,1))</f>
        <v/>
      </c>
      <c r="F222" s="34" t="str">
        <f>IF(C222="","",Plan!T26)</f>
        <v/>
      </c>
      <c r="G222" s="34" t="str">
        <f>IF(C222="","",SUMIFS(ERP!$I$9:$I$1008,ERP!$L$9:$L$1008,C222,ERP!$N$9:$N$1008,1,ERP!$M$9:$M$1008,10))</f>
        <v/>
      </c>
      <c r="H222" s="34" t="str">
        <f>IF(C222="","",IF(10&lt;=Parametry!$G$7,0,SUMIFS(Umowy!$N$9:$N$108,Umowy!$D$9:$D$108,C222,Umowy!$O$9:$O$108,10)))</f>
        <v/>
      </c>
      <c r="I222" s="34" t="str">
        <f>IF(C222="","",IF(10&lt;=Parametry!$G$7,0,IF(COUNTIFS(Prognoza!$C$9:$C$38,C222)=1,IF(ISBLANK(INDEX(Prognoza!$K$9:$V$38,MATCH($C222,Prognoza!$C$9:$C$38,0),10)),"",IF(ISNUMBER(INDEX(Prognoza!$K$9:$V$38,MATCH($C222,Prognoza!$C$9:$C$38,0),10)),INDEX(Prognoza!$K$9:$V$38,MATCH($C222,Prognoza!$C$9:$C$38,0),10),"")),"")))</f>
        <v/>
      </c>
      <c r="J222" s="35" t="str">
        <f>IF(C222="","",IF(Plan!F26="Run",IF(ISNUMBER(INDEX(Parametry!$H$18:$S$18,1,10)),INDEX(Parametry!$H$18:$S$18,1,10),""),IF(ISNUMBER(INDEX(Parametry!$H$24:$S$24,1,10)),INDEX(Parametry!$H$24:$S$24,1,10),"")))</f>
        <v/>
      </c>
      <c r="K222" s="34" t="str">
        <f>IF(C222="","",IF(10&lt;=Parametry!$G$7,0,IF(AND(ISNUMBER(I222),ISNUMBER(J222),J222&gt;=-1),I222*(1+J222),"")))</f>
        <v/>
      </c>
      <c r="L222" s="34" t="str">
        <f>IF(C222="","",IF(10&lt;=Parametry!$G$7,G222,IF(ISNUMBER(K222),H222+K222,"")))</f>
        <v/>
      </c>
      <c r="M222" s="22" t="str">
        <f t="shared" si="6"/>
        <v/>
      </c>
      <c r="N222" s="7">
        <f t="shared" si="7"/>
        <v>0</v>
      </c>
      <c r="O222" s="7"/>
      <c r="P222" s="7"/>
    </row>
    <row r="223" spans="1:16" ht="24" customHeight="1">
      <c r="A223" s="7"/>
      <c r="B223" s="7"/>
      <c r="C223" s="13" t="str">
        <f>IF(Plan!C26="","",Plan!C26)</f>
        <v/>
      </c>
      <c r="D223" s="13" t="str">
        <f>IF(C223="","",Plan!D26)</f>
        <v/>
      </c>
      <c r="E223" s="33" t="str">
        <f>IF(OR(C223="",Parametry!$G$6=""),"",DATE(Parametry!$G$6,11,1))</f>
        <v/>
      </c>
      <c r="F223" s="34" t="str">
        <f>IF(C223="","",Plan!U26)</f>
        <v/>
      </c>
      <c r="G223" s="34" t="str">
        <f>IF(C223="","",SUMIFS(ERP!$I$9:$I$1008,ERP!$L$9:$L$1008,C223,ERP!$N$9:$N$1008,1,ERP!$M$9:$M$1008,11))</f>
        <v/>
      </c>
      <c r="H223" s="34" t="str">
        <f>IF(C223="","",IF(11&lt;=Parametry!$G$7,0,SUMIFS(Umowy!$N$9:$N$108,Umowy!$D$9:$D$108,C223,Umowy!$O$9:$O$108,11)))</f>
        <v/>
      </c>
      <c r="I223" s="34" t="str">
        <f>IF(C223="","",IF(11&lt;=Parametry!$G$7,0,IF(COUNTIFS(Prognoza!$C$9:$C$38,C223)=1,IF(ISBLANK(INDEX(Prognoza!$K$9:$V$38,MATCH($C223,Prognoza!$C$9:$C$38,0),11)),"",IF(ISNUMBER(INDEX(Prognoza!$K$9:$V$38,MATCH($C223,Prognoza!$C$9:$C$38,0),11)),INDEX(Prognoza!$K$9:$V$38,MATCH($C223,Prognoza!$C$9:$C$38,0),11),"")),"")))</f>
        <v/>
      </c>
      <c r="J223" s="35" t="str">
        <f>IF(C223="","",IF(Plan!F26="Run",IF(ISNUMBER(INDEX(Parametry!$H$18:$S$18,1,11)),INDEX(Parametry!$H$18:$S$18,1,11),""),IF(ISNUMBER(INDEX(Parametry!$H$24:$S$24,1,11)),INDEX(Parametry!$H$24:$S$24,1,11),"")))</f>
        <v/>
      </c>
      <c r="K223" s="34" t="str">
        <f>IF(C223="","",IF(11&lt;=Parametry!$G$7,0,IF(AND(ISNUMBER(I223),ISNUMBER(J223),J223&gt;=-1),I223*(1+J223),"")))</f>
        <v/>
      </c>
      <c r="L223" s="34" t="str">
        <f>IF(C223="","",IF(11&lt;=Parametry!$G$7,G223,IF(ISNUMBER(K223),H223+K223,"")))</f>
        <v/>
      </c>
      <c r="M223" s="22" t="str">
        <f t="shared" si="6"/>
        <v/>
      </c>
      <c r="N223" s="7">
        <f t="shared" si="7"/>
        <v>0</v>
      </c>
      <c r="O223" s="7"/>
      <c r="P223" s="7"/>
    </row>
    <row r="224" spans="1:16" ht="24" customHeight="1">
      <c r="A224" s="7"/>
      <c r="B224" s="7"/>
      <c r="C224" s="13" t="str">
        <f>IF(Plan!C26="","",Plan!C26)</f>
        <v/>
      </c>
      <c r="D224" s="13" t="str">
        <f>IF(C224="","",Plan!D26)</f>
        <v/>
      </c>
      <c r="E224" s="33" t="str">
        <f>IF(OR(C224="",Parametry!$G$6=""),"",DATE(Parametry!$G$6,12,1))</f>
        <v/>
      </c>
      <c r="F224" s="34" t="str">
        <f>IF(C224="","",Plan!V26)</f>
        <v/>
      </c>
      <c r="G224" s="34" t="str">
        <f>IF(C224="","",SUMIFS(ERP!$I$9:$I$1008,ERP!$L$9:$L$1008,C224,ERP!$N$9:$N$1008,1,ERP!$M$9:$M$1008,12))</f>
        <v/>
      </c>
      <c r="H224" s="34" t="str">
        <f>IF(C224="","",IF(12&lt;=Parametry!$G$7,0,SUMIFS(Umowy!$N$9:$N$108,Umowy!$D$9:$D$108,C224,Umowy!$O$9:$O$108,12)))</f>
        <v/>
      </c>
      <c r="I224" s="34" t="str">
        <f>IF(C224="","",IF(12&lt;=Parametry!$G$7,0,IF(COUNTIFS(Prognoza!$C$9:$C$38,C224)=1,IF(ISBLANK(INDEX(Prognoza!$K$9:$V$38,MATCH($C224,Prognoza!$C$9:$C$38,0),12)),"",IF(ISNUMBER(INDEX(Prognoza!$K$9:$V$38,MATCH($C224,Prognoza!$C$9:$C$38,0),12)),INDEX(Prognoza!$K$9:$V$38,MATCH($C224,Prognoza!$C$9:$C$38,0),12),"")),"")))</f>
        <v/>
      </c>
      <c r="J224" s="35" t="str">
        <f>IF(C224="","",IF(Plan!F26="Run",IF(ISNUMBER(INDEX(Parametry!$H$18:$S$18,1,12)),INDEX(Parametry!$H$18:$S$18,1,12),""),IF(ISNUMBER(INDEX(Parametry!$H$24:$S$24,1,12)),INDEX(Parametry!$H$24:$S$24,1,12),"")))</f>
        <v/>
      </c>
      <c r="K224" s="34" t="str">
        <f>IF(C224="","",IF(12&lt;=Parametry!$G$7,0,IF(AND(ISNUMBER(I224),ISNUMBER(J224),J224&gt;=-1),I224*(1+J224),"")))</f>
        <v/>
      </c>
      <c r="L224" s="34" t="str">
        <f>IF(C224="","",IF(12&lt;=Parametry!$G$7,G224,IF(ISNUMBER(K224),H224+K224,"")))</f>
        <v/>
      </c>
      <c r="M224" s="22" t="str">
        <f t="shared" si="6"/>
        <v/>
      </c>
      <c r="N224" s="7">
        <f t="shared" si="7"/>
        <v>0</v>
      </c>
      <c r="O224" s="7"/>
      <c r="P224" s="7"/>
    </row>
    <row r="225" spans="1:16" ht="24" customHeight="1">
      <c r="A225" s="7"/>
      <c r="B225" s="7"/>
      <c r="C225" s="13" t="str">
        <f>IF(Plan!C27="","",Plan!C27)</f>
        <v/>
      </c>
      <c r="D225" s="13" t="str">
        <f>IF(C225="","",Plan!D27)</f>
        <v/>
      </c>
      <c r="E225" s="33" t="str">
        <f>IF(OR(C225="",Parametry!$G$6=""),"",DATE(Parametry!$G$6,1,1))</f>
        <v/>
      </c>
      <c r="F225" s="34" t="str">
        <f>IF(C225="","",Plan!K27)</f>
        <v/>
      </c>
      <c r="G225" s="34" t="str">
        <f>IF(C225="","",SUMIFS(ERP!$I$9:$I$1008,ERP!$L$9:$L$1008,C225,ERP!$N$9:$N$1008,1,ERP!$M$9:$M$1008,1))</f>
        <v/>
      </c>
      <c r="H225" s="34" t="str">
        <f>IF(C225="","",IF(1&lt;=Parametry!$G$7,0,SUMIFS(Umowy!$N$9:$N$108,Umowy!$D$9:$D$108,C225,Umowy!$O$9:$O$108,1)))</f>
        <v/>
      </c>
      <c r="I225" s="34" t="str">
        <f>IF(C225="","",IF(1&lt;=Parametry!$G$7,0,IF(COUNTIFS(Prognoza!$C$9:$C$38,C225)=1,IF(ISBLANK(INDEX(Prognoza!$K$9:$V$38,MATCH($C225,Prognoza!$C$9:$C$38,0),1)),"",IF(ISNUMBER(INDEX(Prognoza!$K$9:$V$38,MATCH($C225,Prognoza!$C$9:$C$38,0),1)),INDEX(Prognoza!$K$9:$V$38,MATCH($C225,Prognoza!$C$9:$C$38,0),1),"")),"")))</f>
        <v/>
      </c>
      <c r="J225" s="35" t="str">
        <f>IF(C225="","",IF(Plan!F27="Run",IF(ISNUMBER(INDEX(Parametry!$H$18:$S$18,1,1)),INDEX(Parametry!$H$18:$S$18,1,1),""),IF(ISNUMBER(INDEX(Parametry!$H$24:$S$24,1,1)),INDEX(Parametry!$H$24:$S$24,1,1),"")))</f>
        <v/>
      </c>
      <c r="K225" s="34" t="str">
        <f>IF(C225="","",IF(1&lt;=Parametry!$G$7,0,IF(AND(ISNUMBER(I225),ISNUMBER(J225),J225&gt;=-1),I225*(1+J225),"")))</f>
        <v/>
      </c>
      <c r="L225" s="34" t="str">
        <f>IF(C225="","",IF(1&lt;=Parametry!$G$7,G225,IF(ISNUMBER(K225),H225+K225,"")))</f>
        <v/>
      </c>
      <c r="M225" s="22" t="str">
        <f t="shared" si="6"/>
        <v/>
      </c>
      <c r="N225" s="7">
        <f t="shared" si="7"/>
        <v>0</v>
      </c>
      <c r="O225" s="7"/>
      <c r="P225" s="7"/>
    </row>
    <row r="226" spans="1:16" ht="24" customHeight="1">
      <c r="A226" s="7"/>
      <c r="B226" s="7"/>
      <c r="C226" s="13" t="str">
        <f>IF(Plan!C27="","",Plan!C27)</f>
        <v/>
      </c>
      <c r="D226" s="13" t="str">
        <f>IF(C226="","",Plan!D27)</f>
        <v/>
      </c>
      <c r="E226" s="33" t="str">
        <f>IF(OR(C226="",Parametry!$G$6=""),"",DATE(Parametry!$G$6,2,1))</f>
        <v/>
      </c>
      <c r="F226" s="34" t="str">
        <f>IF(C226="","",Plan!L27)</f>
        <v/>
      </c>
      <c r="G226" s="34" t="str">
        <f>IF(C226="","",SUMIFS(ERP!$I$9:$I$1008,ERP!$L$9:$L$1008,C226,ERP!$N$9:$N$1008,1,ERP!$M$9:$M$1008,2))</f>
        <v/>
      </c>
      <c r="H226" s="34" t="str">
        <f>IF(C226="","",IF(2&lt;=Parametry!$G$7,0,SUMIFS(Umowy!$N$9:$N$108,Umowy!$D$9:$D$108,C226,Umowy!$O$9:$O$108,2)))</f>
        <v/>
      </c>
      <c r="I226" s="34" t="str">
        <f>IF(C226="","",IF(2&lt;=Parametry!$G$7,0,IF(COUNTIFS(Prognoza!$C$9:$C$38,C226)=1,IF(ISBLANK(INDEX(Prognoza!$K$9:$V$38,MATCH($C226,Prognoza!$C$9:$C$38,0),2)),"",IF(ISNUMBER(INDEX(Prognoza!$K$9:$V$38,MATCH($C226,Prognoza!$C$9:$C$38,0),2)),INDEX(Prognoza!$K$9:$V$38,MATCH($C226,Prognoza!$C$9:$C$38,0),2),"")),"")))</f>
        <v/>
      </c>
      <c r="J226" s="35" t="str">
        <f>IF(C226="","",IF(Plan!F27="Run",IF(ISNUMBER(INDEX(Parametry!$H$18:$S$18,1,2)),INDEX(Parametry!$H$18:$S$18,1,2),""),IF(ISNUMBER(INDEX(Parametry!$H$24:$S$24,1,2)),INDEX(Parametry!$H$24:$S$24,1,2),"")))</f>
        <v/>
      </c>
      <c r="K226" s="34" t="str">
        <f>IF(C226="","",IF(2&lt;=Parametry!$G$7,0,IF(AND(ISNUMBER(I226),ISNUMBER(J226),J226&gt;=-1),I226*(1+J226),"")))</f>
        <v/>
      </c>
      <c r="L226" s="34" t="str">
        <f>IF(C226="","",IF(2&lt;=Parametry!$G$7,G226,IF(ISNUMBER(K226),H226+K226,"")))</f>
        <v/>
      </c>
      <c r="M226" s="22" t="str">
        <f t="shared" si="6"/>
        <v/>
      </c>
      <c r="N226" s="7">
        <f t="shared" si="7"/>
        <v>0</v>
      </c>
      <c r="O226" s="7"/>
      <c r="P226" s="7"/>
    </row>
    <row r="227" spans="1:16" ht="24" customHeight="1">
      <c r="A227" s="7"/>
      <c r="B227" s="7"/>
      <c r="C227" s="13" t="str">
        <f>IF(Plan!C27="","",Plan!C27)</f>
        <v/>
      </c>
      <c r="D227" s="13" t="str">
        <f>IF(C227="","",Plan!D27)</f>
        <v/>
      </c>
      <c r="E227" s="33" t="str">
        <f>IF(OR(C227="",Parametry!$G$6=""),"",DATE(Parametry!$G$6,3,1))</f>
        <v/>
      </c>
      <c r="F227" s="34" t="str">
        <f>IF(C227="","",Plan!M27)</f>
        <v/>
      </c>
      <c r="G227" s="34" t="str">
        <f>IF(C227="","",SUMIFS(ERP!$I$9:$I$1008,ERP!$L$9:$L$1008,C227,ERP!$N$9:$N$1008,1,ERP!$M$9:$M$1008,3))</f>
        <v/>
      </c>
      <c r="H227" s="34" t="str">
        <f>IF(C227="","",IF(3&lt;=Parametry!$G$7,0,SUMIFS(Umowy!$N$9:$N$108,Umowy!$D$9:$D$108,C227,Umowy!$O$9:$O$108,3)))</f>
        <v/>
      </c>
      <c r="I227" s="34" t="str">
        <f>IF(C227="","",IF(3&lt;=Parametry!$G$7,0,IF(COUNTIFS(Prognoza!$C$9:$C$38,C227)=1,IF(ISBLANK(INDEX(Prognoza!$K$9:$V$38,MATCH($C227,Prognoza!$C$9:$C$38,0),3)),"",IF(ISNUMBER(INDEX(Prognoza!$K$9:$V$38,MATCH($C227,Prognoza!$C$9:$C$38,0),3)),INDEX(Prognoza!$K$9:$V$38,MATCH($C227,Prognoza!$C$9:$C$38,0),3),"")),"")))</f>
        <v/>
      </c>
      <c r="J227" s="35" t="str">
        <f>IF(C227="","",IF(Plan!F27="Run",IF(ISNUMBER(INDEX(Parametry!$H$18:$S$18,1,3)),INDEX(Parametry!$H$18:$S$18,1,3),""),IF(ISNUMBER(INDEX(Parametry!$H$24:$S$24,1,3)),INDEX(Parametry!$H$24:$S$24,1,3),"")))</f>
        <v/>
      </c>
      <c r="K227" s="34" t="str">
        <f>IF(C227="","",IF(3&lt;=Parametry!$G$7,0,IF(AND(ISNUMBER(I227),ISNUMBER(J227),J227&gt;=-1),I227*(1+J227),"")))</f>
        <v/>
      </c>
      <c r="L227" s="34" t="str">
        <f>IF(C227="","",IF(3&lt;=Parametry!$G$7,G227,IF(ISNUMBER(K227),H227+K227,"")))</f>
        <v/>
      </c>
      <c r="M227" s="22" t="str">
        <f t="shared" si="6"/>
        <v/>
      </c>
      <c r="N227" s="7">
        <f t="shared" si="7"/>
        <v>0</v>
      </c>
      <c r="O227" s="7"/>
      <c r="P227" s="7"/>
    </row>
    <row r="228" spans="1:16" ht="24" customHeight="1">
      <c r="A228" s="7"/>
      <c r="B228" s="7"/>
      <c r="C228" s="13" t="str">
        <f>IF(Plan!C27="","",Plan!C27)</f>
        <v/>
      </c>
      <c r="D228" s="13" t="str">
        <f>IF(C228="","",Plan!D27)</f>
        <v/>
      </c>
      <c r="E228" s="33" t="str">
        <f>IF(OR(C228="",Parametry!$G$6=""),"",DATE(Parametry!$G$6,4,1))</f>
        <v/>
      </c>
      <c r="F228" s="34" t="str">
        <f>IF(C228="","",Plan!N27)</f>
        <v/>
      </c>
      <c r="G228" s="34" t="str">
        <f>IF(C228="","",SUMIFS(ERP!$I$9:$I$1008,ERP!$L$9:$L$1008,C228,ERP!$N$9:$N$1008,1,ERP!$M$9:$M$1008,4))</f>
        <v/>
      </c>
      <c r="H228" s="34" t="str">
        <f>IF(C228="","",IF(4&lt;=Parametry!$G$7,0,SUMIFS(Umowy!$N$9:$N$108,Umowy!$D$9:$D$108,C228,Umowy!$O$9:$O$108,4)))</f>
        <v/>
      </c>
      <c r="I228" s="34" t="str">
        <f>IF(C228="","",IF(4&lt;=Parametry!$G$7,0,IF(COUNTIFS(Prognoza!$C$9:$C$38,C228)=1,IF(ISBLANK(INDEX(Prognoza!$K$9:$V$38,MATCH($C228,Prognoza!$C$9:$C$38,0),4)),"",IF(ISNUMBER(INDEX(Prognoza!$K$9:$V$38,MATCH($C228,Prognoza!$C$9:$C$38,0),4)),INDEX(Prognoza!$K$9:$V$38,MATCH($C228,Prognoza!$C$9:$C$38,0),4),"")),"")))</f>
        <v/>
      </c>
      <c r="J228" s="35" t="str">
        <f>IF(C228="","",IF(Plan!F27="Run",IF(ISNUMBER(INDEX(Parametry!$H$18:$S$18,1,4)),INDEX(Parametry!$H$18:$S$18,1,4),""),IF(ISNUMBER(INDEX(Parametry!$H$24:$S$24,1,4)),INDEX(Parametry!$H$24:$S$24,1,4),"")))</f>
        <v/>
      </c>
      <c r="K228" s="34" t="str">
        <f>IF(C228="","",IF(4&lt;=Parametry!$G$7,0,IF(AND(ISNUMBER(I228),ISNUMBER(J228),J228&gt;=-1),I228*(1+J228),"")))</f>
        <v/>
      </c>
      <c r="L228" s="34" t="str">
        <f>IF(C228="","",IF(4&lt;=Parametry!$G$7,G228,IF(ISNUMBER(K228),H228+K228,"")))</f>
        <v/>
      </c>
      <c r="M228" s="22" t="str">
        <f t="shared" si="6"/>
        <v/>
      </c>
      <c r="N228" s="7">
        <f t="shared" si="7"/>
        <v>0</v>
      </c>
      <c r="O228" s="7"/>
      <c r="P228" s="7"/>
    </row>
    <row r="229" spans="1:16" ht="24" customHeight="1">
      <c r="A229" s="7"/>
      <c r="B229" s="7"/>
      <c r="C229" s="13" t="str">
        <f>IF(Plan!C27="","",Plan!C27)</f>
        <v/>
      </c>
      <c r="D229" s="13" t="str">
        <f>IF(C229="","",Plan!D27)</f>
        <v/>
      </c>
      <c r="E229" s="33" t="str">
        <f>IF(OR(C229="",Parametry!$G$6=""),"",DATE(Parametry!$G$6,5,1))</f>
        <v/>
      </c>
      <c r="F229" s="34" t="str">
        <f>IF(C229="","",Plan!O27)</f>
        <v/>
      </c>
      <c r="G229" s="34" t="str">
        <f>IF(C229="","",SUMIFS(ERP!$I$9:$I$1008,ERP!$L$9:$L$1008,C229,ERP!$N$9:$N$1008,1,ERP!$M$9:$M$1008,5))</f>
        <v/>
      </c>
      <c r="H229" s="34" t="str">
        <f>IF(C229="","",IF(5&lt;=Parametry!$G$7,0,SUMIFS(Umowy!$N$9:$N$108,Umowy!$D$9:$D$108,C229,Umowy!$O$9:$O$108,5)))</f>
        <v/>
      </c>
      <c r="I229" s="34" t="str">
        <f>IF(C229="","",IF(5&lt;=Parametry!$G$7,0,IF(COUNTIFS(Prognoza!$C$9:$C$38,C229)=1,IF(ISBLANK(INDEX(Prognoza!$K$9:$V$38,MATCH($C229,Prognoza!$C$9:$C$38,0),5)),"",IF(ISNUMBER(INDEX(Prognoza!$K$9:$V$38,MATCH($C229,Prognoza!$C$9:$C$38,0),5)),INDEX(Prognoza!$K$9:$V$38,MATCH($C229,Prognoza!$C$9:$C$38,0),5),"")),"")))</f>
        <v/>
      </c>
      <c r="J229" s="35" t="str">
        <f>IF(C229="","",IF(Plan!F27="Run",IF(ISNUMBER(INDEX(Parametry!$H$18:$S$18,1,5)),INDEX(Parametry!$H$18:$S$18,1,5),""),IF(ISNUMBER(INDEX(Parametry!$H$24:$S$24,1,5)),INDEX(Parametry!$H$24:$S$24,1,5),"")))</f>
        <v/>
      </c>
      <c r="K229" s="34" t="str">
        <f>IF(C229="","",IF(5&lt;=Parametry!$G$7,0,IF(AND(ISNUMBER(I229),ISNUMBER(J229),J229&gt;=-1),I229*(1+J229),"")))</f>
        <v/>
      </c>
      <c r="L229" s="34" t="str">
        <f>IF(C229="","",IF(5&lt;=Parametry!$G$7,G229,IF(ISNUMBER(K229),H229+K229,"")))</f>
        <v/>
      </c>
      <c r="M229" s="22" t="str">
        <f t="shared" si="6"/>
        <v/>
      </c>
      <c r="N229" s="7">
        <f t="shared" si="7"/>
        <v>0</v>
      </c>
      <c r="O229" s="7"/>
      <c r="P229" s="7"/>
    </row>
    <row r="230" spans="1:16" ht="24" customHeight="1">
      <c r="A230" s="7"/>
      <c r="B230" s="7"/>
      <c r="C230" s="13" t="str">
        <f>IF(Plan!C27="","",Plan!C27)</f>
        <v/>
      </c>
      <c r="D230" s="13" t="str">
        <f>IF(C230="","",Plan!D27)</f>
        <v/>
      </c>
      <c r="E230" s="33" t="str">
        <f>IF(OR(C230="",Parametry!$G$6=""),"",DATE(Parametry!$G$6,6,1))</f>
        <v/>
      </c>
      <c r="F230" s="34" t="str">
        <f>IF(C230="","",Plan!P27)</f>
        <v/>
      </c>
      <c r="G230" s="34" t="str">
        <f>IF(C230="","",SUMIFS(ERP!$I$9:$I$1008,ERP!$L$9:$L$1008,C230,ERP!$N$9:$N$1008,1,ERP!$M$9:$M$1008,6))</f>
        <v/>
      </c>
      <c r="H230" s="34" t="str">
        <f>IF(C230="","",IF(6&lt;=Parametry!$G$7,0,SUMIFS(Umowy!$N$9:$N$108,Umowy!$D$9:$D$108,C230,Umowy!$O$9:$O$108,6)))</f>
        <v/>
      </c>
      <c r="I230" s="34" t="str">
        <f>IF(C230="","",IF(6&lt;=Parametry!$G$7,0,IF(COUNTIFS(Prognoza!$C$9:$C$38,C230)=1,IF(ISBLANK(INDEX(Prognoza!$K$9:$V$38,MATCH($C230,Prognoza!$C$9:$C$38,0),6)),"",IF(ISNUMBER(INDEX(Prognoza!$K$9:$V$38,MATCH($C230,Prognoza!$C$9:$C$38,0),6)),INDEX(Prognoza!$K$9:$V$38,MATCH($C230,Prognoza!$C$9:$C$38,0),6),"")),"")))</f>
        <v/>
      </c>
      <c r="J230" s="35" t="str">
        <f>IF(C230="","",IF(Plan!F27="Run",IF(ISNUMBER(INDEX(Parametry!$H$18:$S$18,1,6)),INDEX(Parametry!$H$18:$S$18,1,6),""),IF(ISNUMBER(INDEX(Parametry!$H$24:$S$24,1,6)),INDEX(Parametry!$H$24:$S$24,1,6),"")))</f>
        <v/>
      </c>
      <c r="K230" s="34" t="str">
        <f>IF(C230="","",IF(6&lt;=Parametry!$G$7,0,IF(AND(ISNUMBER(I230),ISNUMBER(J230),J230&gt;=-1),I230*(1+J230),"")))</f>
        <v/>
      </c>
      <c r="L230" s="34" t="str">
        <f>IF(C230="","",IF(6&lt;=Parametry!$G$7,G230,IF(ISNUMBER(K230),H230+K230,"")))</f>
        <v/>
      </c>
      <c r="M230" s="22" t="str">
        <f t="shared" si="6"/>
        <v/>
      </c>
      <c r="N230" s="7">
        <f t="shared" si="7"/>
        <v>0</v>
      </c>
      <c r="O230" s="7"/>
      <c r="P230" s="7"/>
    </row>
    <row r="231" spans="1:16" ht="24" customHeight="1">
      <c r="A231" s="7"/>
      <c r="B231" s="7"/>
      <c r="C231" s="13" t="str">
        <f>IF(Plan!C27="","",Plan!C27)</f>
        <v/>
      </c>
      <c r="D231" s="13" t="str">
        <f>IF(C231="","",Plan!D27)</f>
        <v/>
      </c>
      <c r="E231" s="33" t="str">
        <f>IF(OR(C231="",Parametry!$G$6=""),"",DATE(Parametry!$G$6,7,1))</f>
        <v/>
      </c>
      <c r="F231" s="34" t="str">
        <f>IF(C231="","",Plan!Q27)</f>
        <v/>
      </c>
      <c r="G231" s="34" t="str">
        <f>IF(C231="","",SUMIFS(ERP!$I$9:$I$1008,ERP!$L$9:$L$1008,C231,ERP!$N$9:$N$1008,1,ERP!$M$9:$M$1008,7))</f>
        <v/>
      </c>
      <c r="H231" s="34" t="str">
        <f>IF(C231="","",IF(7&lt;=Parametry!$G$7,0,SUMIFS(Umowy!$N$9:$N$108,Umowy!$D$9:$D$108,C231,Umowy!$O$9:$O$108,7)))</f>
        <v/>
      </c>
      <c r="I231" s="34" t="str">
        <f>IF(C231="","",IF(7&lt;=Parametry!$G$7,0,IF(COUNTIFS(Prognoza!$C$9:$C$38,C231)=1,IF(ISBLANK(INDEX(Prognoza!$K$9:$V$38,MATCH($C231,Prognoza!$C$9:$C$38,0),7)),"",IF(ISNUMBER(INDEX(Prognoza!$K$9:$V$38,MATCH($C231,Prognoza!$C$9:$C$38,0),7)),INDEX(Prognoza!$K$9:$V$38,MATCH($C231,Prognoza!$C$9:$C$38,0),7),"")),"")))</f>
        <v/>
      </c>
      <c r="J231" s="35" t="str">
        <f>IF(C231="","",IF(Plan!F27="Run",IF(ISNUMBER(INDEX(Parametry!$H$18:$S$18,1,7)),INDEX(Parametry!$H$18:$S$18,1,7),""),IF(ISNUMBER(INDEX(Parametry!$H$24:$S$24,1,7)),INDEX(Parametry!$H$24:$S$24,1,7),"")))</f>
        <v/>
      </c>
      <c r="K231" s="34" t="str">
        <f>IF(C231="","",IF(7&lt;=Parametry!$G$7,0,IF(AND(ISNUMBER(I231),ISNUMBER(J231),J231&gt;=-1),I231*(1+J231),"")))</f>
        <v/>
      </c>
      <c r="L231" s="34" t="str">
        <f>IF(C231="","",IF(7&lt;=Parametry!$G$7,G231,IF(ISNUMBER(K231),H231+K231,"")))</f>
        <v/>
      </c>
      <c r="M231" s="22" t="str">
        <f t="shared" si="6"/>
        <v/>
      </c>
      <c r="N231" s="7">
        <f t="shared" si="7"/>
        <v>0</v>
      </c>
      <c r="O231" s="7"/>
      <c r="P231" s="7"/>
    </row>
    <row r="232" spans="1:16" ht="24" customHeight="1">
      <c r="A232" s="7"/>
      <c r="B232" s="7"/>
      <c r="C232" s="13" t="str">
        <f>IF(Plan!C27="","",Plan!C27)</f>
        <v/>
      </c>
      <c r="D232" s="13" t="str">
        <f>IF(C232="","",Plan!D27)</f>
        <v/>
      </c>
      <c r="E232" s="33" t="str">
        <f>IF(OR(C232="",Parametry!$G$6=""),"",DATE(Parametry!$G$6,8,1))</f>
        <v/>
      </c>
      <c r="F232" s="34" t="str">
        <f>IF(C232="","",Plan!R27)</f>
        <v/>
      </c>
      <c r="G232" s="34" t="str">
        <f>IF(C232="","",SUMIFS(ERP!$I$9:$I$1008,ERP!$L$9:$L$1008,C232,ERP!$N$9:$N$1008,1,ERP!$M$9:$M$1008,8))</f>
        <v/>
      </c>
      <c r="H232" s="34" t="str">
        <f>IF(C232="","",IF(8&lt;=Parametry!$G$7,0,SUMIFS(Umowy!$N$9:$N$108,Umowy!$D$9:$D$108,C232,Umowy!$O$9:$O$108,8)))</f>
        <v/>
      </c>
      <c r="I232" s="34" t="str">
        <f>IF(C232="","",IF(8&lt;=Parametry!$G$7,0,IF(COUNTIFS(Prognoza!$C$9:$C$38,C232)=1,IF(ISBLANK(INDEX(Prognoza!$K$9:$V$38,MATCH($C232,Prognoza!$C$9:$C$38,0),8)),"",IF(ISNUMBER(INDEX(Prognoza!$K$9:$V$38,MATCH($C232,Prognoza!$C$9:$C$38,0),8)),INDEX(Prognoza!$K$9:$V$38,MATCH($C232,Prognoza!$C$9:$C$38,0),8),"")),"")))</f>
        <v/>
      </c>
      <c r="J232" s="35" t="str">
        <f>IF(C232="","",IF(Plan!F27="Run",IF(ISNUMBER(INDEX(Parametry!$H$18:$S$18,1,8)),INDEX(Parametry!$H$18:$S$18,1,8),""),IF(ISNUMBER(INDEX(Parametry!$H$24:$S$24,1,8)),INDEX(Parametry!$H$24:$S$24,1,8),"")))</f>
        <v/>
      </c>
      <c r="K232" s="34" t="str">
        <f>IF(C232="","",IF(8&lt;=Parametry!$G$7,0,IF(AND(ISNUMBER(I232),ISNUMBER(J232),J232&gt;=-1),I232*(1+J232),"")))</f>
        <v/>
      </c>
      <c r="L232" s="34" t="str">
        <f>IF(C232="","",IF(8&lt;=Parametry!$G$7,G232,IF(ISNUMBER(K232),H232+K232,"")))</f>
        <v/>
      </c>
      <c r="M232" s="22" t="str">
        <f t="shared" si="6"/>
        <v/>
      </c>
      <c r="N232" s="7">
        <f t="shared" si="7"/>
        <v>0</v>
      </c>
      <c r="O232" s="7"/>
      <c r="P232" s="7"/>
    </row>
    <row r="233" spans="1:16" ht="24" customHeight="1">
      <c r="A233" s="7"/>
      <c r="B233" s="7"/>
      <c r="C233" s="13" t="str">
        <f>IF(Plan!C27="","",Plan!C27)</f>
        <v/>
      </c>
      <c r="D233" s="13" t="str">
        <f>IF(C233="","",Plan!D27)</f>
        <v/>
      </c>
      <c r="E233" s="33" t="str">
        <f>IF(OR(C233="",Parametry!$G$6=""),"",DATE(Parametry!$G$6,9,1))</f>
        <v/>
      </c>
      <c r="F233" s="34" t="str">
        <f>IF(C233="","",Plan!S27)</f>
        <v/>
      </c>
      <c r="G233" s="34" t="str">
        <f>IF(C233="","",SUMIFS(ERP!$I$9:$I$1008,ERP!$L$9:$L$1008,C233,ERP!$N$9:$N$1008,1,ERP!$M$9:$M$1008,9))</f>
        <v/>
      </c>
      <c r="H233" s="34" t="str">
        <f>IF(C233="","",IF(9&lt;=Parametry!$G$7,0,SUMIFS(Umowy!$N$9:$N$108,Umowy!$D$9:$D$108,C233,Umowy!$O$9:$O$108,9)))</f>
        <v/>
      </c>
      <c r="I233" s="34" t="str">
        <f>IF(C233="","",IF(9&lt;=Parametry!$G$7,0,IF(COUNTIFS(Prognoza!$C$9:$C$38,C233)=1,IF(ISBLANK(INDEX(Prognoza!$K$9:$V$38,MATCH($C233,Prognoza!$C$9:$C$38,0),9)),"",IF(ISNUMBER(INDEX(Prognoza!$K$9:$V$38,MATCH($C233,Prognoza!$C$9:$C$38,0),9)),INDEX(Prognoza!$K$9:$V$38,MATCH($C233,Prognoza!$C$9:$C$38,0),9),"")),"")))</f>
        <v/>
      </c>
      <c r="J233" s="35" t="str">
        <f>IF(C233="","",IF(Plan!F27="Run",IF(ISNUMBER(INDEX(Parametry!$H$18:$S$18,1,9)),INDEX(Parametry!$H$18:$S$18,1,9),""),IF(ISNUMBER(INDEX(Parametry!$H$24:$S$24,1,9)),INDEX(Parametry!$H$24:$S$24,1,9),"")))</f>
        <v/>
      </c>
      <c r="K233" s="34" t="str">
        <f>IF(C233="","",IF(9&lt;=Parametry!$G$7,0,IF(AND(ISNUMBER(I233),ISNUMBER(J233),J233&gt;=-1),I233*(1+J233),"")))</f>
        <v/>
      </c>
      <c r="L233" s="34" t="str">
        <f>IF(C233="","",IF(9&lt;=Parametry!$G$7,G233,IF(ISNUMBER(K233),H233+K233,"")))</f>
        <v/>
      </c>
      <c r="M233" s="22" t="str">
        <f t="shared" si="6"/>
        <v/>
      </c>
      <c r="N233" s="7">
        <f t="shared" si="7"/>
        <v>0</v>
      </c>
      <c r="O233" s="7"/>
      <c r="P233" s="7"/>
    </row>
    <row r="234" spans="1:16" ht="24" customHeight="1">
      <c r="A234" s="7"/>
      <c r="B234" s="7"/>
      <c r="C234" s="13" t="str">
        <f>IF(Plan!C27="","",Plan!C27)</f>
        <v/>
      </c>
      <c r="D234" s="13" t="str">
        <f>IF(C234="","",Plan!D27)</f>
        <v/>
      </c>
      <c r="E234" s="33" t="str">
        <f>IF(OR(C234="",Parametry!$G$6=""),"",DATE(Parametry!$G$6,10,1))</f>
        <v/>
      </c>
      <c r="F234" s="34" t="str">
        <f>IF(C234="","",Plan!T27)</f>
        <v/>
      </c>
      <c r="G234" s="34" t="str">
        <f>IF(C234="","",SUMIFS(ERP!$I$9:$I$1008,ERP!$L$9:$L$1008,C234,ERP!$N$9:$N$1008,1,ERP!$M$9:$M$1008,10))</f>
        <v/>
      </c>
      <c r="H234" s="34" t="str">
        <f>IF(C234="","",IF(10&lt;=Parametry!$G$7,0,SUMIFS(Umowy!$N$9:$N$108,Umowy!$D$9:$D$108,C234,Umowy!$O$9:$O$108,10)))</f>
        <v/>
      </c>
      <c r="I234" s="34" t="str">
        <f>IF(C234="","",IF(10&lt;=Parametry!$G$7,0,IF(COUNTIFS(Prognoza!$C$9:$C$38,C234)=1,IF(ISBLANK(INDEX(Prognoza!$K$9:$V$38,MATCH($C234,Prognoza!$C$9:$C$38,0),10)),"",IF(ISNUMBER(INDEX(Prognoza!$K$9:$V$38,MATCH($C234,Prognoza!$C$9:$C$38,0),10)),INDEX(Prognoza!$K$9:$V$38,MATCH($C234,Prognoza!$C$9:$C$38,0),10),"")),"")))</f>
        <v/>
      </c>
      <c r="J234" s="35" t="str">
        <f>IF(C234="","",IF(Plan!F27="Run",IF(ISNUMBER(INDEX(Parametry!$H$18:$S$18,1,10)),INDEX(Parametry!$H$18:$S$18,1,10),""),IF(ISNUMBER(INDEX(Parametry!$H$24:$S$24,1,10)),INDEX(Parametry!$H$24:$S$24,1,10),"")))</f>
        <v/>
      </c>
      <c r="K234" s="34" t="str">
        <f>IF(C234="","",IF(10&lt;=Parametry!$G$7,0,IF(AND(ISNUMBER(I234),ISNUMBER(J234),J234&gt;=-1),I234*(1+J234),"")))</f>
        <v/>
      </c>
      <c r="L234" s="34" t="str">
        <f>IF(C234="","",IF(10&lt;=Parametry!$G$7,G234,IF(ISNUMBER(K234),H234+K234,"")))</f>
        <v/>
      </c>
      <c r="M234" s="22" t="str">
        <f t="shared" si="6"/>
        <v/>
      </c>
      <c r="N234" s="7">
        <f t="shared" si="7"/>
        <v>0</v>
      </c>
      <c r="O234" s="7"/>
      <c r="P234" s="7"/>
    </row>
    <row r="235" spans="1:16" ht="24" customHeight="1">
      <c r="A235" s="7"/>
      <c r="B235" s="7"/>
      <c r="C235" s="13" t="str">
        <f>IF(Plan!C27="","",Plan!C27)</f>
        <v/>
      </c>
      <c r="D235" s="13" t="str">
        <f>IF(C235="","",Plan!D27)</f>
        <v/>
      </c>
      <c r="E235" s="33" t="str">
        <f>IF(OR(C235="",Parametry!$G$6=""),"",DATE(Parametry!$G$6,11,1))</f>
        <v/>
      </c>
      <c r="F235" s="34" t="str">
        <f>IF(C235="","",Plan!U27)</f>
        <v/>
      </c>
      <c r="G235" s="34" t="str">
        <f>IF(C235="","",SUMIFS(ERP!$I$9:$I$1008,ERP!$L$9:$L$1008,C235,ERP!$N$9:$N$1008,1,ERP!$M$9:$M$1008,11))</f>
        <v/>
      </c>
      <c r="H235" s="34" t="str">
        <f>IF(C235="","",IF(11&lt;=Parametry!$G$7,0,SUMIFS(Umowy!$N$9:$N$108,Umowy!$D$9:$D$108,C235,Umowy!$O$9:$O$108,11)))</f>
        <v/>
      </c>
      <c r="I235" s="34" t="str">
        <f>IF(C235="","",IF(11&lt;=Parametry!$G$7,0,IF(COUNTIFS(Prognoza!$C$9:$C$38,C235)=1,IF(ISBLANK(INDEX(Prognoza!$K$9:$V$38,MATCH($C235,Prognoza!$C$9:$C$38,0),11)),"",IF(ISNUMBER(INDEX(Prognoza!$K$9:$V$38,MATCH($C235,Prognoza!$C$9:$C$38,0),11)),INDEX(Prognoza!$K$9:$V$38,MATCH($C235,Prognoza!$C$9:$C$38,0),11),"")),"")))</f>
        <v/>
      </c>
      <c r="J235" s="35" t="str">
        <f>IF(C235="","",IF(Plan!F27="Run",IF(ISNUMBER(INDEX(Parametry!$H$18:$S$18,1,11)),INDEX(Parametry!$H$18:$S$18,1,11),""),IF(ISNUMBER(INDEX(Parametry!$H$24:$S$24,1,11)),INDEX(Parametry!$H$24:$S$24,1,11),"")))</f>
        <v/>
      </c>
      <c r="K235" s="34" t="str">
        <f>IF(C235="","",IF(11&lt;=Parametry!$G$7,0,IF(AND(ISNUMBER(I235),ISNUMBER(J235),J235&gt;=-1),I235*(1+J235),"")))</f>
        <v/>
      </c>
      <c r="L235" s="34" t="str">
        <f>IF(C235="","",IF(11&lt;=Parametry!$G$7,G235,IF(ISNUMBER(K235),H235+K235,"")))</f>
        <v/>
      </c>
      <c r="M235" s="22" t="str">
        <f t="shared" si="6"/>
        <v/>
      </c>
      <c r="N235" s="7">
        <f t="shared" si="7"/>
        <v>0</v>
      </c>
      <c r="O235" s="7"/>
      <c r="P235" s="7"/>
    </row>
    <row r="236" spans="1:16" ht="24" customHeight="1">
      <c r="A236" s="7"/>
      <c r="B236" s="7"/>
      <c r="C236" s="13" t="str">
        <f>IF(Plan!C27="","",Plan!C27)</f>
        <v/>
      </c>
      <c r="D236" s="13" t="str">
        <f>IF(C236="","",Plan!D27)</f>
        <v/>
      </c>
      <c r="E236" s="33" t="str">
        <f>IF(OR(C236="",Parametry!$G$6=""),"",DATE(Parametry!$G$6,12,1))</f>
        <v/>
      </c>
      <c r="F236" s="34" t="str">
        <f>IF(C236="","",Plan!V27)</f>
        <v/>
      </c>
      <c r="G236" s="34" t="str">
        <f>IF(C236="","",SUMIFS(ERP!$I$9:$I$1008,ERP!$L$9:$L$1008,C236,ERP!$N$9:$N$1008,1,ERP!$M$9:$M$1008,12))</f>
        <v/>
      </c>
      <c r="H236" s="34" t="str">
        <f>IF(C236="","",IF(12&lt;=Parametry!$G$7,0,SUMIFS(Umowy!$N$9:$N$108,Umowy!$D$9:$D$108,C236,Umowy!$O$9:$O$108,12)))</f>
        <v/>
      </c>
      <c r="I236" s="34" t="str">
        <f>IF(C236="","",IF(12&lt;=Parametry!$G$7,0,IF(COUNTIFS(Prognoza!$C$9:$C$38,C236)=1,IF(ISBLANK(INDEX(Prognoza!$K$9:$V$38,MATCH($C236,Prognoza!$C$9:$C$38,0),12)),"",IF(ISNUMBER(INDEX(Prognoza!$K$9:$V$38,MATCH($C236,Prognoza!$C$9:$C$38,0),12)),INDEX(Prognoza!$K$9:$V$38,MATCH($C236,Prognoza!$C$9:$C$38,0),12),"")),"")))</f>
        <v/>
      </c>
      <c r="J236" s="35" t="str">
        <f>IF(C236="","",IF(Plan!F27="Run",IF(ISNUMBER(INDEX(Parametry!$H$18:$S$18,1,12)),INDEX(Parametry!$H$18:$S$18,1,12),""),IF(ISNUMBER(INDEX(Parametry!$H$24:$S$24,1,12)),INDEX(Parametry!$H$24:$S$24,1,12),"")))</f>
        <v/>
      </c>
      <c r="K236" s="34" t="str">
        <f>IF(C236="","",IF(12&lt;=Parametry!$G$7,0,IF(AND(ISNUMBER(I236),ISNUMBER(J236),J236&gt;=-1),I236*(1+J236),"")))</f>
        <v/>
      </c>
      <c r="L236" s="34" t="str">
        <f>IF(C236="","",IF(12&lt;=Parametry!$G$7,G236,IF(ISNUMBER(K236),H236+K236,"")))</f>
        <v/>
      </c>
      <c r="M236" s="22" t="str">
        <f t="shared" si="6"/>
        <v/>
      </c>
      <c r="N236" s="7">
        <f t="shared" si="7"/>
        <v>0</v>
      </c>
      <c r="O236" s="7"/>
      <c r="P236" s="7"/>
    </row>
    <row r="237" spans="1:16" ht="24" customHeight="1">
      <c r="A237" s="7"/>
      <c r="B237" s="7"/>
      <c r="C237" s="13" t="str">
        <f>IF(Plan!C28="","",Plan!C28)</f>
        <v/>
      </c>
      <c r="D237" s="13" t="str">
        <f>IF(C237="","",Plan!D28)</f>
        <v/>
      </c>
      <c r="E237" s="33" t="str">
        <f>IF(OR(C237="",Parametry!$G$6=""),"",DATE(Parametry!$G$6,1,1))</f>
        <v/>
      </c>
      <c r="F237" s="34" t="str">
        <f>IF(C237="","",Plan!K28)</f>
        <v/>
      </c>
      <c r="G237" s="34" t="str">
        <f>IF(C237="","",SUMIFS(ERP!$I$9:$I$1008,ERP!$L$9:$L$1008,C237,ERP!$N$9:$N$1008,1,ERP!$M$9:$M$1008,1))</f>
        <v/>
      </c>
      <c r="H237" s="34" t="str">
        <f>IF(C237="","",IF(1&lt;=Parametry!$G$7,0,SUMIFS(Umowy!$N$9:$N$108,Umowy!$D$9:$D$108,C237,Umowy!$O$9:$O$108,1)))</f>
        <v/>
      </c>
      <c r="I237" s="34" t="str">
        <f>IF(C237="","",IF(1&lt;=Parametry!$G$7,0,IF(COUNTIFS(Prognoza!$C$9:$C$38,C237)=1,IF(ISBLANK(INDEX(Prognoza!$K$9:$V$38,MATCH($C237,Prognoza!$C$9:$C$38,0),1)),"",IF(ISNUMBER(INDEX(Prognoza!$K$9:$V$38,MATCH($C237,Prognoza!$C$9:$C$38,0),1)),INDEX(Prognoza!$K$9:$V$38,MATCH($C237,Prognoza!$C$9:$C$38,0),1),"")),"")))</f>
        <v/>
      </c>
      <c r="J237" s="35" t="str">
        <f>IF(C237="","",IF(Plan!F28="Run",IF(ISNUMBER(INDEX(Parametry!$H$18:$S$18,1,1)),INDEX(Parametry!$H$18:$S$18,1,1),""),IF(ISNUMBER(INDEX(Parametry!$H$24:$S$24,1,1)),INDEX(Parametry!$H$24:$S$24,1,1),"")))</f>
        <v/>
      </c>
      <c r="K237" s="34" t="str">
        <f>IF(C237="","",IF(1&lt;=Parametry!$G$7,0,IF(AND(ISNUMBER(I237),ISNUMBER(J237),J237&gt;=-1),I237*(1+J237),"")))</f>
        <v/>
      </c>
      <c r="L237" s="34" t="str">
        <f>IF(C237="","",IF(1&lt;=Parametry!$G$7,G237,IF(ISNUMBER(K237),H237+K237,"")))</f>
        <v/>
      </c>
      <c r="M237" s="22" t="str">
        <f t="shared" si="6"/>
        <v/>
      </c>
      <c r="N237" s="7">
        <f t="shared" si="7"/>
        <v>0</v>
      </c>
      <c r="O237" s="7"/>
      <c r="P237" s="7"/>
    </row>
    <row r="238" spans="1:16" ht="24" customHeight="1">
      <c r="A238" s="7"/>
      <c r="B238" s="7"/>
      <c r="C238" s="13" t="str">
        <f>IF(Plan!C28="","",Plan!C28)</f>
        <v/>
      </c>
      <c r="D238" s="13" t="str">
        <f>IF(C238="","",Plan!D28)</f>
        <v/>
      </c>
      <c r="E238" s="33" t="str">
        <f>IF(OR(C238="",Parametry!$G$6=""),"",DATE(Parametry!$G$6,2,1))</f>
        <v/>
      </c>
      <c r="F238" s="34" t="str">
        <f>IF(C238="","",Plan!L28)</f>
        <v/>
      </c>
      <c r="G238" s="34" t="str">
        <f>IF(C238="","",SUMIFS(ERP!$I$9:$I$1008,ERP!$L$9:$L$1008,C238,ERP!$N$9:$N$1008,1,ERP!$M$9:$M$1008,2))</f>
        <v/>
      </c>
      <c r="H238" s="34" t="str">
        <f>IF(C238="","",IF(2&lt;=Parametry!$G$7,0,SUMIFS(Umowy!$N$9:$N$108,Umowy!$D$9:$D$108,C238,Umowy!$O$9:$O$108,2)))</f>
        <v/>
      </c>
      <c r="I238" s="34" t="str">
        <f>IF(C238="","",IF(2&lt;=Parametry!$G$7,0,IF(COUNTIFS(Prognoza!$C$9:$C$38,C238)=1,IF(ISBLANK(INDEX(Prognoza!$K$9:$V$38,MATCH($C238,Prognoza!$C$9:$C$38,0),2)),"",IF(ISNUMBER(INDEX(Prognoza!$K$9:$V$38,MATCH($C238,Prognoza!$C$9:$C$38,0),2)),INDEX(Prognoza!$K$9:$V$38,MATCH($C238,Prognoza!$C$9:$C$38,0),2),"")),"")))</f>
        <v/>
      </c>
      <c r="J238" s="35" t="str">
        <f>IF(C238="","",IF(Plan!F28="Run",IF(ISNUMBER(INDEX(Parametry!$H$18:$S$18,1,2)),INDEX(Parametry!$H$18:$S$18,1,2),""),IF(ISNUMBER(INDEX(Parametry!$H$24:$S$24,1,2)),INDEX(Parametry!$H$24:$S$24,1,2),"")))</f>
        <v/>
      </c>
      <c r="K238" s="34" t="str">
        <f>IF(C238="","",IF(2&lt;=Parametry!$G$7,0,IF(AND(ISNUMBER(I238),ISNUMBER(J238),J238&gt;=-1),I238*(1+J238),"")))</f>
        <v/>
      </c>
      <c r="L238" s="34" t="str">
        <f>IF(C238="","",IF(2&lt;=Parametry!$G$7,G238,IF(ISNUMBER(K238),H238+K238,"")))</f>
        <v/>
      </c>
      <c r="M238" s="22" t="str">
        <f t="shared" si="6"/>
        <v/>
      </c>
      <c r="N238" s="7">
        <f t="shared" si="7"/>
        <v>0</v>
      </c>
      <c r="O238" s="7"/>
      <c r="P238" s="7"/>
    </row>
    <row r="239" spans="1:16" ht="24" customHeight="1">
      <c r="A239" s="7"/>
      <c r="B239" s="7"/>
      <c r="C239" s="13" t="str">
        <f>IF(Plan!C28="","",Plan!C28)</f>
        <v/>
      </c>
      <c r="D239" s="13" t="str">
        <f>IF(C239="","",Plan!D28)</f>
        <v/>
      </c>
      <c r="E239" s="33" t="str">
        <f>IF(OR(C239="",Parametry!$G$6=""),"",DATE(Parametry!$G$6,3,1))</f>
        <v/>
      </c>
      <c r="F239" s="34" t="str">
        <f>IF(C239="","",Plan!M28)</f>
        <v/>
      </c>
      <c r="G239" s="34" t="str">
        <f>IF(C239="","",SUMIFS(ERP!$I$9:$I$1008,ERP!$L$9:$L$1008,C239,ERP!$N$9:$N$1008,1,ERP!$M$9:$M$1008,3))</f>
        <v/>
      </c>
      <c r="H239" s="34" t="str">
        <f>IF(C239="","",IF(3&lt;=Parametry!$G$7,0,SUMIFS(Umowy!$N$9:$N$108,Umowy!$D$9:$D$108,C239,Umowy!$O$9:$O$108,3)))</f>
        <v/>
      </c>
      <c r="I239" s="34" t="str">
        <f>IF(C239="","",IF(3&lt;=Parametry!$G$7,0,IF(COUNTIFS(Prognoza!$C$9:$C$38,C239)=1,IF(ISBLANK(INDEX(Prognoza!$K$9:$V$38,MATCH($C239,Prognoza!$C$9:$C$38,0),3)),"",IF(ISNUMBER(INDEX(Prognoza!$K$9:$V$38,MATCH($C239,Prognoza!$C$9:$C$38,0),3)),INDEX(Prognoza!$K$9:$V$38,MATCH($C239,Prognoza!$C$9:$C$38,0),3),"")),"")))</f>
        <v/>
      </c>
      <c r="J239" s="35" t="str">
        <f>IF(C239="","",IF(Plan!F28="Run",IF(ISNUMBER(INDEX(Parametry!$H$18:$S$18,1,3)),INDEX(Parametry!$H$18:$S$18,1,3),""),IF(ISNUMBER(INDEX(Parametry!$H$24:$S$24,1,3)),INDEX(Parametry!$H$24:$S$24,1,3),"")))</f>
        <v/>
      </c>
      <c r="K239" s="34" t="str">
        <f>IF(C239="","",IF(3&lt;=Parametry!$G$7,0,IF(AND(ISNUMBER(I239),ISNUMBER(J239),J239&gt;=-1),I239*(1+J239),"")))</f>
        <v/>
      </c>
      <c r="L239" s="34" t="str">
        <f>IF(C239="","",IF(3&lt;=Parametry!$G$7,G239,IF(ISNUMBER(K239),H239+K239,"")))</f>
        <v/>
      </c>
      <c r="M239" s="22" t="str">
        <f t="shared" si="6"/>
        <v/>
      </c>
      <c r="N239" s="7">
        <f t="shared" si="7"/>
        <v>0</v>
      </c>
      <c r="O239" s="7"/>
      <c r="P239" s="7"/>
    </row>
    <row r="240" spans="1:16" ht="24" customHeight="1">
      <c r="A240" s="7"/>
      <c r="B240" s="7"/>
      <c r="C240" s="13" t="str">
        <f>IF(Plan!C28="","",Plan!C28)</f>
        <v/>
      </c>
      <c r="D240" s="13" t="str">
        <f>IF(C240="","",Plan!D28)</f>
        <v/>
      </c>
      <c r="E240" s="33" t="str">
        <f>IF(OR(C240="",Parametry!$G$6=""),"",DATE(Parametry!$G$6,4,1))</f>
        <v/>
      </c>
      <c r="F240" s="34" t="str">
        <f>IF(C240="","",Plan!N28)</f>
        <v/>
      </c>
      <c r="G240" s="34" t="str">
        <f>IF(C240="","",SUMIFS(ERP!$I$9:$I$1008,ERP!$L$9:$L$1008,C240,ERP!$N$9:$N$1008,1,ERP!$M$9:$M$1008,4))</f>
        <v/>
      </c>
      <c r="H240" s="34" t="str">
        <f>IF(C240="","",IF(4&lt;=Parametry!$G$7,0,SUMIFS(Umowy!$N$9:$N$108,Umowy!$D$9:$D$108,C240,Umowy!$O$9:$O$108,4)))</f>
        <v/>
      </c>
      <c r="I240" s="34" t="str">
        <f>IF(C240="","",IF(4&lt;=Parametry!$G$7,0,IF(COUNTIFS(Prognoza!$C$9:$C$38,C240)=1,IF(ISBLANK(INDEX(Prognoza!$K$9:$V$38,MATCH($C240,Prognoza!$C$9:$C$38,0),4)),"",IF(ISNUMBER(INDEX(Prognoza!$K$9:$V$38,MATCH($C240,Prognoza!$C$9:$C$38,0),4)),INDEX(Prognoza!$K$9:$V$38,MATCH($C240,Prognoza!$C$9:$C$38,0),4),"")),"")))</f>
        <v/>
      </c>
      <c r="J240" s="35" t="str">
        <f>IF(C240="","",IF(Plan!F28="Run",IF(ISNUMBER(INDEX(Parametry!$H$18:$S$18,1,4)),INDEX(Parametry!$H$18:$S$18,1,4),""),IF(ISNUMBER(INDEX(Parametry!$H$24:$S$24,1,4)),INDEX(Parametry!$H$24:$S$24,1,4),"")))</f>
        <v/>
      </c>
      <c r="K240" s="34" t="str">
        <f>IF(C240="","",IF(4&lt;=Parametry!$G$7,0,IF(AND(ISNUMBER(I240),ISNUMBER(J240),J240&gt;=-1),I240*(1+J240),"")))</f>
        <v/>
      </c>
      <c r="L240" s="34" t="str">
        <f>IF(C240="","",IF(4&lt;=Parametry!$G$7,G240,IF(ISNUMBER(K240),H240+K240,"")))</f>
        <v/>
      </c>
      <c r="M240" s="22" t="str">
        <f t="shared" si="6"/>
        <v/>
      </c>
      <c r="N240" s="7">
        <f t="shared" si="7"/>
        <v>0</v>
      </c>
      <c r="O240" s="7"/>
      <c r="P240" s="7"/>
    </row>
    <row r="241" spans="1:16" ht="24" customHeight="1">
      <c r="A241" s="7"/>
      <c r="B241" s="7"/>
      <c r="C241" s="13" t="str">
        <f>IF(Plan!C28="","",Plan!C28)</f>
        <v/>
      </c>
      <c r="D241" s="13" t="str">
        <f>IF(C241="","",Plan!D28)</f>
        <v/>
      </c>
      <c r="E241" s="33" t="str">
        <f>IF(OR(C241="",Parametry!$G$6=""),"",DATE(Parametry!$G$6,5,1))</f>
        <v/>
      </c>
      <c r="F241" s="34" t="str">
        <f>IF(C241="","",Plan!O28)</f>
        <v/>
      </c>
      <c r="G241" s="34" t="str">
        <f>IF(C241="","",SUMIFS(ERP!$I$9:$I$1008,ERP!$L$9:$L$1008,C241,ERP!$N$9:$N$1008,1,ERP!$M$9:$M$1008,5))</f>
        <v/>
      </c>
      <c r="H241" s="34" t="str">
        <f>IF(C241="","",IF(5&lt;=Parametry!$G$7,0,SUMIFS(Umowy!$N$9:$N$108,Umowy!$D$9:$D$108,C241,Umowy!$O$9:$O$108,5)))</f>
        <v/>
      </c>
      <c r="I241" s="34" t="str">
        <f>IF(C241="","",IF(5&lt;=Parametry!$G$7,0,IF(COUNTIFS(Prognoza!$C$9:$C$38,C241)=1,IF(ISBLANK(INDEX(Prognoza!$K$9:$V$38,MATCH($C241,Prognoza!$C$9:$C$38,0),5)),"",IF(ISNUMBER(INDEX(Prognoza!$K$9:$V$38,MATCH($C241,Prognoza!$C$9:$C$38,0),5)),INDEX(Prognoza!$K$9:$V$38,MATCH($C241,Prognoza!$C$9:$C$38,0),5),"")),"")))</f>
        <v/>
      </c>
      <c r="J241" s="35" t="str">
        <f>IF(C241="","",IF(Plan!F28="Run",IF(ISNUMBER(INDEX(Parametry!$H$18:$S$18,1,5)),INDEX(Parametry!$H$18:$S$18,1,5),""),IF(ISNUMBER(INDEX(Parametry!$H$24:$S$24,1,5)),INDEX(Parametry!$H$24:$S$24,1,5),"")))</f>
        <v/>
      </c>
      <c r="K241" s="34" t="str">
        <f>IF(C241="","",IF(5&lt;=Parametry!$G$7,0,IF(AND(ISNUMBER(I241),ISNUMBER(J241),J241&gt;=-1),I241*(1+J241),"")))</f>
        <v/>
      </c>
      <c r="L241" s="34" t="str">
        <f>IF(C241="","",IF(5&lt;=Parametry!$G$7,G241,IF(ISNUMBER(K241),H241+K241,"")))</f>
        <v/>
      </c>
      <c r="M241" s="22" t="str">
        <f t="shared" si="6"/>
        <v/>
      </c>
      <c r="N241" s="7">
        <f t="shared" si="7"/>
        <v>0</v>
      </c>
      <c r="O241" s="7"/>
      <c r="P241" s="7"/>
    </row>
    <row r="242" spans="1:16" ht="24" customHeight="1">
      <c r="A242" s="7"/>
      <c r="B242" s="7"/>
      <c r="C242" s="13" t="str">
        <f>IF(Plan!C28="","",Plan!C28)</f>
        <v/>
      </c>
      <c r="D242" s="13" t="str">
        <f>IF(C242="","",Plan!D28)</f>
        <v/>
      </c>
      <c r="E242" s="33" t="str">
        <f>IF(OR(C242="",Parametry!$G$6=""),"",DATE(Parametry!$G$6,6,1))</f>
        <v/>
      </c>
      <c r="F242" s="34" t="str">
        <f>IF(C242="","",Plan!P28)</f>
        <v/>
      </c>
      <c r="G242" s="34" t="str">
        <f>IF(C242="","",SUMIFS(ERP!$I$9:$I$1008,ERP!$L$9:$L$1008,C242,ERP!$N$9:$N$1008,1,ERP!$M$9:$M$1008,6))</f>
        <v/>
      </c>
      <c r="H242" s="34" t="str">
        <f>IF(C242="","",IF(6&lt;=Parametry!$G$7,0,SUMIFS(Umowy!$N$9:$N$108,Umowy!$D$9:$D$108,C242,Umowy!$O$9:$O$108,6)))</f>
        <v/>
      </c>
      <c r="I242" s="34" t="str">
        <f>IF(C242="","",IF(6&lt;=Parametry!$G$7,0,IF(COUNTIFS(Prognoza!$C$9:$C$38,C242)=1,IF(ISBLANK(INDEX(Prognoza!$K$9:$V$38,MATCH($C242,Prognoza!$C$9:$C$38,0),6)),"",IF(ISNUMBER(INDEX(Prognoza!$K$9:$V$38,MATCH($C242,Prognoza!$C$9:$C$38,0),6)),INDEX(Prognoza!$K$9:$V$38,MATCH($C242,Prognoza!$C$9:$C$38,0),6),"")),"")))</f>
        <v/>
      </c>
      <c r="J242" s="35" t="str">
        <f>IF(C242="","",IF(Plan!F28="Run",IF(ISNUMBER(INDEX(Parametry!$H$18:$S$18,1,6)),INDEX(Parametry!$H$18:$S$18,1,6),""),IF(ISNUMBER(INDEX(Parametry!$H$24:$S$24,1,6)),INDEX(Parametry!$H$24:$S$24,1,6),"")))</f>
        <v/>
      </c>
      <c r="K242" s="34" t="str">
        <f>IF(C242="","",IF(6&lt;=Parametry!$G$7,0,IF(AND(ISNUMBER(I242),ISNUMBER(J242),J242&gt;=-1),I242*(1+J242),"")))</f>
        <v/>
      </c>
      <c r="L242" s="34" t="str">
        <f>IF(C242="","",IF(6&lt;=Parametry!$G$7,G242,IF(ISNUMBER(K242),H242+K242,"")))</f>
        <v/>
      </c>
      <c r="M242" s="22" t="str">
        <f t="shared" si="6"/>
        <v/>
      </c>
      <c r="N242" s="7">
        <f t="shared" si="7"/>
        <v>0</v>
      </c>
      <c r="O242" s="7"/>
      <c r="P242" s="7"/>
    </row>
    <row r="243" spans="1:16" ht="24" customHeight="1">
      <c r="A243" s="7"/>
      <c r="B243" s="7"/>
      <c r="C243" s="13" t="str">
        <f>IF(Plan!C28="","",Plan!C28)</f>
        <v/>
      </c>
      <c r="D243" s="13" t="str">
        <f>IF(C243="","",Plan!D28)</f>
        <v/>
      </c>
      <c r="E243" s="33" t="str">
        <f>IF(OR(C243="",Parametry!$G$6=""),"",DATE(Parametry!$G$6,7,1))</f>
        <v/>
      </c>
      <c r="F243" s="34" t="str">
        <f>IF(C243="","",Plan!Q28)</f>
        <v/>
      </c>
      <c r="G243" s="34" t="str">
        <f>IF(C243="","",SUMIFS(ERP!$I$9:$I$1008,ERP!$L$9:$L$1008,C243,ERP!$N$9:$N$1008,1,ERP!$M$9:$M$1008,7))</f>
        <v/>
      </c>
      <c r="H243" s="34" t="str">
        <f>IF(C243="","",IF(7&lt;=Parametry!$G$7,0,SUMIFS(Umowy!$N$9:$N$108,Umowy!$D$9:$D$108,C243,Umowy!$O$9:$O$108,7)))</f>
        <v/>
      </c>
      <c r="I243" s="34" t="str">
        <f>IF(C243="","",IF(7&lt;=Parametry!$G$7,0,IF(COUNTIFS(Prognoza!$C$9:$C$38,C243)=1,IF(ISBLANK(INDEX(Prognoza!$K$9:$V$38,MATCH($C243,Prognoza!$C$9:$C$38,0),7)),"",IF(ISNUMBER(INDEX(Prognoza!$K$9:$V$38,MATCH($C243,Prognoza!$C$9:$C$38,0),7)),INDEX(Prognoza!$K$9:$V$38,MATCH($C243,Prognoza!$C$9:$C$38,0),7),"")),"")))</f>
        <v/>
      </c>
      <c r="J243" s="35" t="str">
        <f>IF(C243="","",IF(Plan!F28="Run",IF(ISNUMBER(INDEX(Parametry!$H$18:$S$18,1,7)),INDEX(Parametry!$H$18:$S$18,1,7),""),IF(ISNUMBER(INDEX(Parametry!$H$24:$S$24,1,7)),INDEX(Parametry!$H$24:$S$24,1,7),"")))</f>
        <v/>
      </c>
      <c r="K243" s="34" t="str">
        <f>IF(C243="","",IF(7&lt;=Parametry!$G$7,0,IF(AND(ISNUMBER(I243),ISNUMBER(J243),J243&gt;=-1),I243*(1+J243),"")))</f>
        <v/>
      </c>
      <c r="L243" s="34" t="str">
        <f>IF(C243="","",IF(7&lt;=Parametry!$G$7,G243,IF(ISNUMBER(K243),H243+K243,"")))</f>
        <v/>
      </c>
      <c r="M243" s="22" t="str">
        <f t="shared" si="6"/>
        <v/>
      </c>
      <c r="N243" s="7">
        <f t="shared" si="7"/>
        <v>0</v>
      </c>
      <c r="O243" s="7"/>
      <c r="P243" s="7"/>
    </row>
    <row r="244" spans="1:16" ht="24" customHeight="1">
      <c r="A244" s="7"/>
      <c r="B244" s="7"/>
      <c r="C244" s="13" t="str">
        <f>IF(Plan!C28="","",Plan!C28)</f>
        <v/>
      </c>
      <c r="D244" s="13" t="str">
        <f>IF(C244="","",Plan!D28)</f>
        <v/>
      </c>
      <c r="E244" s="33" t="str">
        <f>IF(OR(C244="",Parametry!$G$6=""),"",DATE(Parametry!$G$6,8,1))</f>
        <v/>
      </c>
      <c r="F244" s="34" t="str">
        <f>IF(C244="","",Plan!R28)</f>
        <v/>
      </c>
      <c r="G244" s="34" t="str">
        <f>IF(C244="","",SUMIFS(ERP!$I$9:$I$1008,ERP!$L$9:$L$1008,C244,ERP!$N$9:$N$1008,1,ERP!$M$9:$M$1008,8))</f>
        <v/>
      </c>
      <c r="H244" s="34" t="str">
        <f>IF(C244="","",IF(8&lt;=Parametry!$G$7,0,SUMIFS(Umowy!$N$9:$N$108,Umowy!$D$9:$D$108,C244,Umowy!$O$9:$O$108,8)))</f>
        <v/>
      </c>
      <c r="I244" s="34" t="str">
        <f>IF(C244="","",IF(8&lt;=Parametry!$G$7,0,IF(COUNTIFS(Prognoza!$C$9:$C$38,C244)=1,IF(ISBLANK(INDEX(Prognoza!$K$9:$V$38,MATCH($C244,Prognoza!$C$9:$C$38,0),8)),"",IF(ISNUMBER(INDEX(Prognoza!$K$9:$V$38,MATCH($C244,Prognoza!$C$9:$C$38,0),8)),INDEX(Prognoza!$K$9:$V$38,MATCH($C244,Prognoza!$C$9:$C$38,0),8),"")),"")))</f>
        <v/>
      </c>
      <c r="J244" s="35" t="str">
        <f>IF(C244="","",IF(Plan!F28="Run",IF(ISNUMBER(INDEX(Parametry!$H$18:$S$18,1,8)),INDEX(Parametry!$H$18:$S$18,1,8),""),IF(ISNUMBER(INDEX(Parametry!$H$24:$S$24,1,8)),INDEX(Parametry!$H$24:$S$24,1,8),"")))</f>
        <v/>
      </c>
      <c r="K244" s="34" t="str">
        <f>IF(C244="","",IF(8&lt;=Parametry!$G$7,0,IF(AND(ISNUMBER(I244),ISNUMBER(J244),J244&gt;=-1),I244*(1+J244),"")))</f>
        <v/>
      </c>
      <c r="L244" s="34" t="str">
        <f>IF(C244="","",IF(8&lt;=Parametry!$G$7,G244,IF(ISNUMBER(K244),H244+K244,"")))</f>
        <v/>
      </c>
      <c r="M244" s="22" t="str">
        <f t="shared" si="6"/>
        <v/>
      </c>
      <c r="N244" s="7">
        <f t="shared" si="7"/>
        <v>0</v>
      </c>
      <c r="O244" s="7"/>
      <c r="P244" s="7"/>
    </row>
    <row r="245" spans="1:16" ht="24" customHeight="1">
      <c r="A245" s="7"/>
      <c r="B245" s="7"/>
      <c r="C245" s="13" t="str">
        <f>IF(Plan!C28="","",Plan!C28)</f>
        <v/>
      </c>
      <c r="D245" s="13" t="str">
        <f>IF(C245="","",Plan!D28)</f>
        <v/>
      </c>
      <c r="E245" s="33" t="str">
        <f>IF(OR(C245="",Parametry!$G$6=""),"",DATE(Parametry!$G$6,9,1))</f>
        <v/>
      </c>
      <c r="F245" s="34" t="str">
        <f>IF(C245="","",Plan!S28)</f>
        <v/>
      </c>
      <c r="G245" s="34" t="str">
        <f>IF(C245="","",SUMIFS(ERP!$I$9:$I$1008,ERP!$L$9:$L$1008,C245,ERP!$N$9:$N$1008,1,ERP!$M$9:$M$1008,9))</f>
        <v/>
      </c>
      <c r="H245" s="34" t="str">
        <f>IF(C245="","",IF(9&lt;=Parametry!$G$7,0,SUMIFS(Umowy!$N$9:$N$108,Umowy!$D$9:$D$108,C245,Umowy!$O$9:$O$108,9)))</f>
        <v/>
      </c>
      <c r="I245" s="34" t="str">
        <f>IF(C245="","",IF(9&lt;=Parametry!$G$7,0,IF(COUNTIFS(Prognoza!$C$9:$C$38,C245)=1,IF(ISBLANK(INDEX(Prognoza!$K$9:$V$38,MATCH($C245,Prognoza!$C$9:$C$38,0),9)),"",IF(ISNUMBER(INDEX(Prognoza!$K$9:$V$38,MATCH($C245,Prognoza!$C$9:$C$38,0),9)),INDEX(Prognoza!$K$9:$V$38,MATCH($C245,Prognoza!$C$9:$C$38,0),9),"")),"")))</f>
        <v/>
      </c>
      <c r="J245" s="35" t="str">
        <f>IF(C245="","",IF(Plan!F28="Run",IF(ISNUMBER(INDEX(Parametry!$H$18:$S$18,1,9)),INDEX(Parametry!$H$18:$S$18,1,9),""),IF(ISNUMBER(INDEX(Parametry!$H$24:$S$24,1,9)),INDEX(Parametry!$H$24:$S$24,1,9),"")))</f>
        <v/>
      </c>
      <c r="K245" s="34" t="str">
        <f>IF(C245="","",IF(9&lt;=Parametry!$G$7,0,IF(AND(ISNUMBER(I245),ISNUMBER(J245),J245&gt;=-1),I245*(1+J245),"")))</f>
        <v/>
      </c>
      <c r="L245" s="34" t="str">
        <f>IF(C245="","",IF(9&lt;=Parametry!$G$7,G245,IF(ISNUMBER(K245),H245+K245,"")))</f>
        <v/>
      </c>
      <c r="M245" s="22" t="str">
        <f t="shared" si="6"/>
        <v/>
      </c>
      <c r="N245" s="7">
        <f t="shared" si="7"/>
        <v>0</v>
      </c>
      <c r="O245" s="7"/>
      <c r="P245" s="7"/>
    </row>
    <row r="246" spans="1:16" ht="24" customHeight="1">
      <c r="A246" s="7"/>
      <c r="B246" s="7"/>
      <c r="C246" s="13" t="str">
        <f>IF(Plan!C28="","",Plan!C28)</f>
        <v/>
      </c>
      <c r="D246" s="13" t="str">
        <f>IF(C246="","",Plan!D28)</f>
        <v/>
      </c>
      <c r="E246" s="33" t="str">
        <f>IF(OR(C246="",Parametry!$G$6=""),"",DATE(Parametry!$G$6,10,1))</f>
        <v/>
      </c>
      <c r="F246" s="34" t="str">
        <f>IF(C246="","",Plan!T28)</f>
        <v/>
      </c>
      <c r="G246" s="34" t="str">
        <f>IF(C246="","",SUMIFS(ERP!$I$9:$I$1008,ERP!$L$9:$L$1008,C246,ERP!$N$9:$N$1008,1,ERP!$M$9:$M$1008,10))</f>
        <v/>
      </c>
      <c r="H246" s="34" t="str">
        <f>IF(C246="","",IF(10&lt;=Parametry!$G$7,0,SUMIFS(Umowy!$N$9:$N$108,Umowy!$D$9:$D$108,C246,Umowy!$O$9:$O$108,10)))</f>
        <v/>
      </c>
      <c r="I246" s="34" t="str">
        <f>IF(C246="","",IF(10&lt;=Parametry!$G$7,0,IF(COUNTIFS(Prognoza!$C$9:$C$38,C246)=1,IF(ISBLANK(INDEX(Prognoza!$K$9:$V$38,MATCH($C246,Prognoza!$C$9:$C$38,0),10)),"",IF(ISNUMBER(INDEX(Prognoza!$K$9:$V$38,MATCH($C246,Prognoza!$C$9:$C$38,0),10)),INDEX(Prognoza!$K$9:$V$38,MATCH($C246,Prognoza!$C$9:$C$38,0),10),"")),"")))</f>
        <v/>
      </c>
      <c r="J246" s="35" t="str">
        <f>IF(C246="","",IF(Plan!F28="Run",IF(ISNUMBER(INDEX(Parametry!$H$18:$S$18,1,10)),INDEX(Parametry!$H$18:$S$18,1,10),""),IF(ISNUMBER(INDEX(Parametry!$H$24:$S$24,1,10)),INDEX(Parametry!$H$24:$S$24,1,10),"")))</f>
        <v/>
      </c>
      <c r="K246" s="34" t="str">
        <f>IF(C246="","",IF(10&lt;=Parametry!$G$7,0,IF(AND(ISNUMBER(I246),ISNUMBER(J246),J246&gt;=-1),I246*(1+J246),"")))</f>
        <v/>
      </c>
      <c r="L246" s="34" t="str">
        <f>IF(C246="","",IF(10&lt;=Parametry!$G$7,G246,IF(ISNUMBER(K246),H246+K246,"")))</f>
        <v/>
      </c>
      <c r="M246" s="22" t="str">
        <f t="shared" si="6"/>
        <v/>
      </c>
      <c r="N246" s="7">
        <f t="shared" si="7"/>
        <v>0</v>
      </c>
      <c r="O246" s="7"/>
      <c r="P246" s="7"/>
    </row>
    <row r="247" spans="1:16" ht="24" customHeight="1">
      <c r="A247" s="7"/>
      <c r="B247" s="7"/>
      <c r="C247" s="13" t="str">
        <f>IF(Plan!C28="","",Plan!C28)</f>
        <v/>
      </c>
      <c r="D247" s="13" t="str">
        <f>IF(C247="","",Plan!D28)</f>
        <v/>
      </c>
      <c r="E247" s="33" t="str">
        <f>IF(OR(C247="",Parametry!$G$6=""),"",DATE(Parametry!$G$6,11,1))</f>
        <v/>
      </c>
      <c r="F247" s="34" t="str">
        <f>IF(C247="","",Plan!U28)</f>
        <v/>
      </c>
      <c r="G247" s="34" t="str">
        <f>IF(C247="","",SUMIFS(ERP!$I$9:$I$1008,ERP!$L$9:$L$1008,C247,ERP!$N$9:$N$1008,1,ERP!$M$9:$M$1008,11))</f>
        <v/>
      </c>
      <c r="H247" s="34" t="str">
        <f>IF(C247="","",IF(11&lt;=Parametry!$G$7,0,SUMIFS(Umowy!$N$9:$N$108,Umowy!$D$9:$D$108,C247,Umowy!$O$9:$O$108,11)))</f>
        <v/>
      </c>
      <c r="I247" s="34" t="str">
        <f>IF(C247="","",IF(11&lt;=Parametry!$G$7,0,IF(COUNTIFS(Prognoza!$C$9:$C$38,C247)=1,IF(ISBLANK(INDEX(Prognoza!$K$9:$V$38,MATCH($C247,Prognoza!$C$9:$C$38,0),11)),"",IF(ISNUMBER(INDEX(Prognoza!$K$9:$V$38,MATCH($C247,Prognoza!$C$9:$C$38,0),11)),INDEX(Prognoza!$K$9:$V$38,MATCH($C247,Prognoza!$C$9:$C$38,0),11),"")),"")))</f>
        <v/>
      </c>
      <c r="J247" s="35" t="str">
        <f>IF(C247="","",IF(Plan!F28="Run",IF(ISNUMBER(INDEX(Parametry!$H$18:$S$18,1,11)),INDEX(Parametry!$H$18:$S$18,1,11),""),IF(ISNUMBER(INDEX(Parametry!$H$24:$S$24,1,11)),INDEX(Parametry!$H$24:$S$24,1,11),"")))</f>
        <v/>
      </c>
      <c r="K247" s="34" t="str">
        <f>IF(C247="","",IF(11&lt;=Parametry!$G$7,0,IF(AND(ISNUMBER(I247),ISNUMBER(J247),J247&gt;=-1),I247*(1+J247),"")))</f>
        <v/>
      </c>
      <c r="L247" s="34" t="str">
        <f>IF(C247="","",IF(11&lt;=Parametry!$G$7,G247,IF(ISNUMBER(K247),H247+K247,"")))</f>
        <v/>
      </c>
      <c r="M247" s="22" t="str">
        <f t="shared" si="6"/>
        <v/>
      </c>
      <c r="N247" s="7">
        <f t="shared" si="7"/>
        <v>0</v>
      </c>
      <c r="O247" s="7"/>
      <c r="P247" s="7"/>
    </row>
    <row r="248" spans="1:16" ht="24" customHeight="1">
      <c r="A248" s="7"/>
      <c r="B248" s="7"/>
      <c r="C248" s="13" t="str">
        <f>IF(Plan!C28="","",Plan!C28)</f>
        <v/>
      </c>
      <c r="D248" s="13" t="str">
        <f>IF(C248="","",Plan!D28)</f>
        <v/>
      </c>
      <c r="E248" s="33" t="str">
        <f>IF(OR(C248="",Parametry!$G$6=""),"",DATE(Parametry!$G$6,12,1))</f>
        <v/>
      </c>
      <c r="F248" s="34" t="str">
        <f>IF(C248="","",Plan!V28)</f>
        <v/>
      </c>
      <c r="G248" s="34" t="str">
        <f>IF(C248="","",SUMIFS(ERP!$I$9:$I$1008,ERP!$L$9:$L$1008,C248,ERP!$N$9:$N$1008,1,ERP!$M$9:$M$1008,12))</f>
        <v/>
      </c>
      <c r="H248" s="34" t="str">
        <f>IF(C248="","",IF(12&lt;=Parametry!$G$7,0,SUMIFS(Umowy!$N$9:$N$108,Umowy!$D$9:$D$108,C248,Umowy!$O$9:$O$108,12)))</f>
        <v/>
      </c>
      <c r="I248" s="34" t="str">
        <f>IF(C248="","",IF(12&lt;=Parametry!$G$7,0,IF(COUNTIFS(Prognoza!$C$9:$C$38,C248)=1,IF(ISBLANK(INDEX(Prognoza!$K$9:$V$38,MATCH($C248,Prognoza!$C$9:$C$38,0),12)),"",IF(ISNUMBER(INDEX(Prognoza!$K$9:$V$38,MATCH($C248,Prognoza!$C$9:$C$38,0),12)),INDEX(Prognoza!$K$9:$V$38,MATCH($C248,Prognoza!$C$9:$C$38,0),12),"")),"")))</f>
        <v/>
      </c>
      <c r="J248" s="35" t="str">
        <f>IF(C248="","",IF(Plan!F28="Run",IF(ISNUMBER(INDEX(Parametry!$H$18:$S$18,1,12)),INDEX(Parametry!$H$18:$S$18,1,12),""),IF(ISNUMBER(INDEX(Parametry!$H$24:$S$24,1,12)),INDEX(Parametry!$H$24:$S$24,1,12),"")))</f>
        <v/>
      </c>
      <c r="K248" s="34" t="str">
        <f>IF(C248="","",IF(12&lt;=Parametry!$G$7,0,IF(AND(ISNUMBER(I248),ISNUMBER(J248),J248&gt;=-1),I248*(1+J248),"")))</f>
        <v/>
      </c>
      <c r="L248" s="34" t="str">
        <f>IF(C248="","",IF(12&lt;=Parametry!$G$7,G248,IF(ISNUMBER(K248),H248+K248,"")))</f>
        <v/>
      </c>
      <c r="M248" s="22" t="str">
        <f t="shared" si="6"/>
        <v/>
      </c>
      <c r="N248" s="7">
        <f t="shared" si="7"/>
        <v>0</v>
      </c>
      <c r="O248" s="7"/>
      <c r="P248" s="7"/>
    </row>
    <row r="249" spans="1:16" ht="24" customHeight="1">
      <c r="A249" s="7"/>
      <c r="B249" s="7"/>
      <c r="C249" s="13" t="str">
        <f>IF(Plan!C29="","",Plan!C29)</f>
        <v/>
      </c>
      <c r="D249" s="13" t="str">
        <f>IF(C249="","",Plan!D29)</f>
        <v/>
      </c>
      <c r="E249" s="33" t="str">
        <f>IF(OR(C249="",Parametry!$G$6=""),"",DATE(Parametry!$G$6,1,1))</f>
        <v/>
      </c>
      <c r="F249" s="34" t="str">
        <f>IF(C249="","",Plan!K29)</f>
        <v/>
      </c>
      <c r="G249" s="34" t="str">
        <f>IF(C249="","",SUMIFS(ERP!$I$9:$I$1008,ERP!$L$9:$L$1008,C249,ERP!$N$9:$N$1008,1,ERP!$M$9:$M$1008,1))</f>
        <v/>
      </c>
      <c r="H249" s="34" t="str">
        <f>IF(C249="","",IF(1&lt;=Parametry!$G$7,0,SUMIFS(Umowy!$N$9:$N$108,Umowy!$D$9:$D$108,C249,Umowy!$O$9:$O$108,1)))</f>
        <v/>
      </c>
      <c r="I249" s="34" t="str">
        <f>IF(C249="","",IF(1&lt;=Parametry!$G$7,0,IF(COUNTIFS(Prognoza!$C$9:$C$38,C249)=1,IF(ISBLANK(INDEX(Prognoza!$K$9:$V$38,MATCH($C249,Prognoza!$C$9:$C$38,0),1)),"",IF(ISNUMBER(INDEX(Prognoza!$K$9:$V$38,MATCH($C249,Prognoza!$C$9:$C$38,0),1)),INDEX(Prognoza!$K$9:$V$38,MATCH($C249,Prognoza!$C$9:$C$38,0),1),"")),"")))</f>
        <v/>
      </c>
      <c r="J249" s="35" t="str">
        <f>IF(C249="","",IF(Plan!F29="Run",IF(ISNUMBER(INDEX(Parametry!$H$18:$S$18,1,1)),INDEX(Parametry!$H$18:$S$18,1,1),""),IF(ISNUMBER(INDEX(Parametry!$H$24:$S$24,1,1)),INDEX(Parametry!$H$24:$S$24,1,1),"")))</f>
        <v/>
      </c>
      <c r="K249" s="34" t="str">
        <f>IF(C249="","",IF(1&lt;=Parametry!$G$7,0,IF(AND(ISNUMBER(I249),ISNUMBER(J249),J249&gt;=-1),I249*(1+J249),"")))</f>
        <v/>
      </c>
      <c r="L249" s="34" t="str">
        <f>IF(C249="","",IF(1&lt;=Parametry!$G$7,G249,IF(ISNUMBER(K249),H249+K249,"")))</f>
        <v/>
      </c>
      <c r="M249" s="22" t="str">
        <f t="shared" si="6"/>
        <v/>
      </c>
      <c r="N249" s="7">
        <f t="shared" si="7"/>
        <v>0</v>
      </c>
      <c r="O249" s="7"/>
      <c r="P249" s="7"/>
    </row>
    <row r="250" spans="1:16" ht="24" customHeight="1">
      <c r="A250" s="7"/>
      <c r="B250" s="7"/>
      <c r="C250" s="13" t="str">
        <f>IF(Plan!C29="","",Plan!C29)</f>
        <v/>
      </c>
      <c r="D250" s="13" t="str">
        <f>IF(C250="","",Plan!D29)</f>
        <v/>
      </c>
      <c r="E250" s="33" t="str">
        <f>IF(OR(C250="",Parametry!$G$6=""),"",DATE(Parametry!$G$6,2,1))</f>
        <v/>
      </c>
      <c r="F250" s="34" t="str">
        <f>IF(C250="","",Plan!L29)</f>
        <v/>
      </c>
      <c r="G250" s="34" t="str">
        <f>IF(C250="","",SUMIFS(ERP!$I$9:$I$1008,ERP!$L$9:$L$1008,C250,ERP!$N$9:$N$1008,1,ERP!$M$9:$M$1008,2))</f>
        <v/>
      </c>
      <c r="H250" s="34" t="str">
        <f>IF(C250="","",IF(2&lt;=Parametry!$G$7,0,SUMIFS(Umowy!$N$9:$N$108,Umowy!$D$9:$D$108,C250,Umowy!$O$9:$O$108,2)))</f>
        <v/>
      </c>
      <c r="I250" s="34" t="str">
        <f>IF(C250="","",IF(2&lt;=Parametry!$G$7,0,IF(COUNTIFS(Prognoza!$C$9:$C$38,C250)=1,IF(ISBLANK(INDEX(Prognoza!$K$9:$V$38,MATCH($C250,Prognoza!$C$9:$C$38,0),2)),"",IF(ISNUMBER(INDEX(Prognoza!$K$9:$V$38,MATCH($C250,Prognoza!$C$9:$C$38,0),2)),INDEX(Prognoza!$K$9:$V$38,MATCH($C250,Prognoza!$C$9:$C$38,0),2),"")),"")))</f>
        <v/>
      </c>
      <c r="J250" s="35" t="str">
        <f>IF(C250="","",IF(Plan!F29="Run",IF(ISNUMBER(INDEX(Parametry!$H$18:$S$18,1,2)),INDEX(Parametry!$H$18:$S$18,1,2),""),IF(ISNUMBER(INDEX(Parametry!$H$24:$S$24,1,2)),INDEX(Parametry!$H$24:$S$24,1,2),"")))</f>
        <v/>
      </c>
      <c r="K250" s="34" t="str">
        <f>IF(C250="","",IF(2&lt;=Parametry!$G$7,0,IF(AND(ISNUMBER(I250),ISNUMBER(J250),J250&gt;=-1),I250*(1+J250),"")))</f>
        <v/>
      </c>
      <c r="L250" s="34" t="str">
        <f>IF(C250="","",IF(2&lt;=Parametry!$G$7,G250,IF(ISNUMBER(K250),H250+K250,"")))</f>
        <v/>
      </c>
      <c r="M250" s="22" t="str">
        <f t="shared" si="6"/>
        <v/>
      </c>
      <c r="N250" s="7">
        <f t="shared" si="7"/>
        <v>0</v>
      </c>
      <c r="O250" s="7"/>
      <c r="P250" s="7"/>
    </row>
    <row r="251" spans="1:16" ht="24" customHeight="1">
      <c r="A251" s="7"/>
      <c r="B251" s="7"/>
      <c r="C251" s="13" t="str">
        <f>IF(Plan!C29="","",Plan!C29)</f>
        <v/>
      </c>
      <c r="D251" s="13" t="str">
        <f>IF(C251="","",Plan!D29)</f>
        <v/>
      </c>
      <c r="E251" s="33" t="str">
        <f>IF(OR(C251="",Parametry!$G$6=""),"",DATE(Parametry!$G$6,3,1))</f>
        <v/>
      </c>
      <c r="F251" s="34" t="str">
        <f>IF(C251="","",Plan!M29)</f>
        <v/>
      </c>
      <c r="G251" s="34" t="str">
        <f>IF(C251="","",SUMIFS(ERP!$I$9:$I$1008,ERP!$L$9:$L$1008,C251,ERP!$N$9:$N$1008,1,ERP!$M$9:$M$1008,3))</f>
        <v/>
      </c>
      <c r="H251" s="34" t="str">
        <f>IF(C251="","",IF(3&lt;=Parametry!$G$7,0,SUMIFS(Umowy!$N$9:$N$108,Umowy!$D$9:$D$108,C251,Umowy!$O$9:$O$108,3)))</f>
        <v/>
      </c>
      <c r="I251" s="34" t="str">
        <f>IF(C251="","",IF(3&lt;=Parametry!$G$7,0,IF(COUNTIFS(Prognoza!$C$9:$C$38,C251)=1,IF(ISBLANK(INDEX(Prognoza!$K$9:$V$38,MATCH($C251,Prognoza!$C$9:$C$38,0),3)),"",IF(ISNUMBER(INDEX(Prognoza!$K$9:$V$38,MATCH($C251,Prognoza!$C$9:$C$38,0),3)),INDEX(Prognoza!$K$9:$V$38,MATCH($C251,Prognoza!$C$9:$C$38,0),3),"")),"")))</f>
        <v/>
      </c>
      <c r="J251" s="35" t="str">
        <f>IF(C251="","",IF(Plan!F29="Run",IF(ISNUMBER(INDEX(Parametry!$H$18:$S$18,1,3)),INDEX(Parametry!$H$18:$S$18,1,3),""),IF(ISNUMBER(INDEX(Parametry!$H$24:$S$24,1,3)),INDEX(Parametry!$H$24:$S$24,1,3),"")))</f>
        <v/>
      </c>
      <c r="K251" s="34" t="str">
        <f>IF(C251="","",IF(3&lt;=Parametry!$G$7,0,IF(AND(ISNUMBER(I251),ISNUMBER(J251),J251&gt;=-1),I251*(1+J251),"")))</f>
        <v/>
      </c>
      <c r="L251" s="34" t="str">
        <f>IF(C251="","",IF(3&lt;=Parametry!$G$7,G251,IF(ISNUMBER(K251),H251+K251,"")))</f>
        <v/>
      </c>
      <c r="M251" s="22" t="str">
        <f t="shared" si="6"/>
        <v/>
      </c>
      <c r="N251" s="7">
        <f t="shared" si="7"/>
        <v>0</v>
      </c>
      <c r="O251" s="7"/>
      <c r="P251" s="7"/>
    </row>
    <row r="252" spans="1:16" ht="24" customHeight="1">
      <c r="A252" s="7"/>
      <c r="B252" s="7"/>
      <c r="C252" s="13" t="str">
        <f>IF(Plan!C29="","",Plan!C29)</f>
        <v/>
      </c>
      <c r="D252" s="13" t="str">
        <f>IF(C252="","",Plan!D29)</f>
        <v/>
      </c>
      <c r="E252" s="33" t="str">
        <f>IF(OR(C252="",Parametry!$G$6=""),"",DATE(Parametry!$G$6,4,1))</f>
        <v/>
      </c>
      <c r="F252" s="34" t="str">
        <f>IF(C252="","",Plan!N29)</f>
        <v/>
      </c>
      <c r="G252" s="34" t="str">
        <f>IF(C252="","",SUMIFS(ERP!$I$9:$I$1008,ERP!$L$9:$L$1008,C252,ERP!$N$9:$N$1008,1,ERP!$M$9:$M$1008,4))</f>
        <v/>
      </c>
      <c r="H252" s="34" t="str">
        <f>IF(C252="","",IF(4&lt;=Parametry!$G$7,0,SUMIFS(Umowy!$N$9:$N$108,Umowy!$D$9:$D$108,C252,Umowy!$O$9:$O$108,4)))</f>
        <v/>
      </c>
      <c r="I252" s="34" t="str">
        <f>IF(C252="","",IF(4&lt;=Parametry!$G$7,0,IF(COUNTIFS(Prognoza!$C$9:$C$38,C252)=1,IF(ISBLANK(INDEX(Prognoza!$K$9:$V$38,MATCH($C252,Prognoza!$C$9:$C$38,0),4)),"",IF(ISNUMBER(INDEX(Prognoza!$K$9:$V$38,MATCH($C252,Prognoza!$C$9:$C$38,0),4)),INDEX(Prognoza!$K$9:$V$38,MATCH($C252,Prognoza!$C$9:$C$38,0),4),"")),"")))</f>
        <v/>
      </c>
      <c r="J252" s="35" t="str">
        <f>IF(C252="","",IF(Plan!F29="Run",IF(ISNUMBER(INDEX(Parametry!$H$18:$S$18,1,4)),INDEX(Parametry!$H$18:$S$18,1,4),""),IF(ISNUMBER(INDEX(Parametry!$H$24:$S$24,1,4)),INDEX(Parametry!$H$24:$S$24,1,4),"")))</f>
        <v/>
      </c>
      <c r="K252" s="34" t="str">
        <f>IF(C252="","",IF(4&lt;=Parametry!$G$7,0,IF(AND(ISNUMBER(I252),ISNUMBER(J252),J252&gt;=-1),I252*(1+J252),"")))</f>
        <v/>
      </c>
      <c r="L252" s="34" t="str">
        <f>IF(C252="","",IF(4&lt;=Parametry!$G$7,G252,IF(ISNUMBER(K252),H252+K252,"")))</f>
        <v/>
      </c>
      <c r="M252" s="22" t="str">
        <f t="shared" si="6"/>
        <v/>
      </c>
      <c r="N252" s="7">
        <f t="shared" si="7"/>
        <v>0</v>
      </c>
      <c r="O252" s="7"/>
      <c r="P252" s="7"/>
    </row>
    <row r="253" spans="1:16" ht="24" customHeight="1">
      <c r="A253" s="7"/>
      <c r="B253" s="7"/>
      <c r="C253" s="13" t="str">
        <f>IF(Plan!C29="","",Plan!C29)</f>
        <v/>
      </c>
      <c r="D253" s="13" t="str">
        <f>IF(C253="","",Plan!D29)</f>
        <v/>
      </c>
      <c r="E253" s="33" t="str">
        <f>IF(OR(C253="",Parametry!$G$6=""),"",DATE(Parametry!$G$6,5,1))</f>
        <v/>
      </c>
      <c r="F253" s="34" t="str">
        <f>IF(C253="","",Plan!O29)</f>
        <v/>
      </c>
      <c r="G253" s="34" t="str">
        <f>IF(C253="","",SUMIFS(ERP!$I$9:$I$1008,ERP!$L$9:$L$1008,C253,ERP!$N$9:$N$1008,1,ERP!$M$9:$M$1008,5))</f>
        <v/>
      </c>
      <c r="H253" s="34" t="str">
        <f>IF(C253="","",IF(5&lt;=Parametry!$G$7,0,SUMIFS(Umowy!$N$9:$N$108,Umowy!$D$9:$D$108,C253,Umowy!$O$9:$O$108,5)))</f>
        <v/>
      </c>
      <c r="I253" s="34" t="str">
        <f>IF(C253="","",IF(5&lt;=Parametry!$G$7,0,IF(COUNTIFS(Prognoza!$C$9:$C$38,C253)=1,IF(ISBLANK(INDEX(Prognoza!$K$9:$V$38,MATCH($C253,Prognoza!$C$9:$C$38,0),5)),"",IF(ISNUMBER(INDEX(Prognoza!$K$9:$V$38,MATCH($C253,Prognoza!$C$9:$C$38,0),5)),INDEX(Prognoza!$K$9:$V$38,MATCH($C253,Prognoza!$C$9:$C$38,0),5),"")),"")))</f>
        <v/>
      </c>
      <c r="J253" s="35" t="str">
        <f>IF(C253="","",IF(Plan!F29="Run",IF(ISNUMBER(INDEX(Parametry!$H$18:$S$18,1,5)),INDEX(Parametry!$H$18:$S$18,1,5),""),IF(ISNUMBER(INDEX(Parametry!$H$24:$S$24,1,5)),INDEX(Parametry!$H$24:$S$24,1,5),"")))</f>
        <v/>
      </c>
      <c r="K253" s="34" t="str">
        <f>IF(C253="","",IF(5&lt;=Parametry!$G$7,0,IF(AND(ISNUMBER(I253),ISNUMBER(J253),J253&gt;=-1),I253*(1+J253),"")))</f>
        <v/>
      </c>
      <c r="L253" s="34" t="str">
        <f>IF(C253="","",IF(5&lt;=Parametry!$G$7,G253,IF(ISNUMBER(K253),H253+K253,"")))</f>
        <v/>
      </c>
      <c r="M253" s="22" t="str">
        <f t="shared" si="6"/>
        <v/>
      </c>
      <c r="N253" s="7">
        <f t="shared" si="7"/>
        <v>0</v>
      </c>
      <c r="O253" s="7"/>
      <c r="P253" s="7"/>
    </row>
    <row r="254" spans="1:16" ht="24" customHeight="1">
      <c r="A254" s="7"/>
      <c r="B254" s="7"/>
      <c r="C254" s="13" t="str">
        <f>IF(Plan!C29="","",Plan!C29)</f>
        <v/>
      </c>
      <c r="D254" s="13" t="str">
        <f>IF(C254="","",Plan!D29)</f>
        <v/>
      </c>
      <c r="E254" s="33" t="str">
        <f>IF(OR(C254="",Parametry!$G$6=""),"",DATE(Parametry!$G$6,6,1))</f>
        <v/>
      </c>
      <c r="F254" s="34" t="str">
        <f>IF(C254="","",Plan!P29)</f>
        <v/>
      </c>
      <c r="G254" s="34" t="str">
        <f>IF(C254="","",SUMIFS(ERP!$I$9:$I$1008,ERP!$L$9:$L$1008,C254,ERP!$N$9:$N$1008,1,ERP!$M$9:$M$1008,6))</f>
        <v/>
      </c>
      <c r="H254" s="34" t="str">
        <f>IF(C254="","",IF(6&lt;=Parametry!$G$7,0,SUMIFS(Umowy!$N$9:$N$108,Umowy!$D$9:$D$108,C254,Umowy!$O$9:$O$108,6)))</f>
        <v/>
      </c>
      <c r="I254" s="34" t="str">
        <f>IF(C254="","",IF(6&lt;=Parametry!$G$7,0,IF(COUNTIFS(Prognoza!$C$9:$C$38,C254)=1,IF(ISBLANK(INDEX(Prognoza!$K$9:$V$38,MATCH($C254,Prognoza!$C$9:$C$38,0),6)),"",IF(ISNUMBER(INDEX(Prognoza!$K$9:$V$38,MATCH($C254,Prognoza!$C$9:$C$38,0),6)),INDEX(Prognoza!$K$9:$V$38,MATCH($C254,Prognoza!$C$9:$C$38,0),6),"")),"")))</f>
        <v/>
      </c>
      <c r="J254" s="35" t="str">
        <f>IF(C254="","",IF(Plan!F29="Run",IF(ISNUMBER(INDEX(Parametry!$H$18:$S$18,1,6)),INDEX(Parametry!$H$18:$S$18,1,6),""),IF(ISNUMBER(INDEX(Parametry!$H$24:$S$24,1,6)),INDEX(Parametry!$H$24:$S$24,1,6),"")))</f>
        <v/>
      </c>
      <c r="K254" s="34" t="str">
        <f>IF(C254="","",IF(6&lt;=Parametry!$G$7,0,IF(AND(ISNUMBER(I254),ISNUMBER(J254),J254&gt;=-1),I254*(1+J254),"")))</f>
        <v/>
      </c>
      <c r="L254" s="34" t="str">
        <f>IF(C254="","",IF(6&lt;=Parametry!$G$7,G254,IF(ISNUMBER(K254),H254+K254,"")))</f>
        <v/>
      </c>
      <c r="M254" s="22" t="str">
        <f t="shared" si="6"/>
        <v/>
      </c>
      <c r="N254" s="7">
        <f t="shared" si="7"/>
        <v>0</v>
      </c>
      <c r="O254" s="7"/>
      <c r="P254" s="7"/>
    </row>
    <row r="255" spans="1:16" ht="24" customHeight="1">
      <c r="A255" s="7"/>
      <c r="B255" s="7"/>
      <c r="C255" s="13" t="str">
        <f>IF(Plan!C29="","",Plan!C29)</f>
        <v/>
      </c>
      <c r="D255" s="13" t="str">
        <f>IF(C255="","",Plan!D29)</f>
        <v/>
      </c>
      <c r="E255" s="33" t="str">
        <f>IF(OR(C255="",Parametry!$G$6=""),"",DATE(Parametry!$G$6,7,1))</f>
        <v/>
      </c>
      <c r="F255" s="34" t="str">
        <f>IF(C255="","",Plan!Q29)</f>
        <v/>
      </c>
      <c r="G255" s="34" t="str">
        <f>IF(C255="","",SUMIFS(ERP!$I$9:$I$1008,ERP!$L$9:$L$1008,C255,ERP!$N$9:$N$1008,1,ERP!$M$9:$M$1008,7))</f>
        <v/>
      </c>
      <c r="H255" s="34" t="str">
        <f>IF(C255="","",IF(7&lt;=Parametry!$G$7,0,SUMIFS(Umowy!$N$9:$N$108,Umowy!$D$9:$D$108,C255,Umowy!$O$9:$O$108,7)))</f>
        <v/>
      </c>
      <c r="I255" s="34" t="str">
        <f>IF(C255="","",IF(7&lt;=Parametry!$G$7,0,IF(COUNTIFS(Prognoza!$C$9:$C$38,C255)=1,IF(ISBLANK(INDEX(Prognoza!$K$9:$V$38,MATCH($C255,Prognoza!$C$9:$C$38,0),7)),"",IF(ISNUMBER(INDEX(Prognoza!$K$9:$V$38,MATCH($C255,Prognoza!$C$9:$C$38,0),7)),INDEX(Prognoza!$K$9:$V$38,MATCH($C255,Prognoza!$C$9:$C$38,0),7),"")),"")))</f>
        <v/>
      </c>
      <c r="J255" s="35" t="str">
        <f>IF(C255="","",IF(Plan!F29="Run",IF(ISNUMBER(INDEX(Parametry!$H$18:$S$18,1,7)),INDEX(Parametry!$H$18:$S$18,1,7),""),IF(ISNUMBER(INDEX(Parametry!$H$24:$S$24,1,7)),INDEX(Parametry!$H$24:$S$24,1,7),"")))</f>
        <v/>
      </c>
      <c r="K255" s="34" t="str">
        <f>IF(C255="","",IF(7&lt;=Parametry!$G$7,0,IF(AND(ISNUMBER(I255),ISNUMBER(J255),J255&gt;=-1),I255*(1+J255),"")))</f>
        <v/>
      </c>
      <c r="L255" s="34" t="str">
        <f>IF(C255="","",IF(7&lt;=Parametry!$G$7,G255,IF(ISNUMBER(K255),H255+K255,"")))</f>
        <v/>
      </c>
      <c r="M255" s="22" t="str">
        <f t="shared" si="6"/>
        <v/>
      </c>
      <c r="N255" s="7">
        <f t="shared" si="7"/>
        <v>0</v>
      </c>
      <c r="O255" s="7"/>
      <c r="P255" s="7"/>
    </row>
    <row r="256" spans="1:16" ht="24" customHeight="1">
      <c r="A256" s="7"/>
      <c r="B256" s="7"/>
      <c r="C256" s="13" t="str">
        <f>IF(Plan!C29="","",Plan!C29)</f>
        <v/>
      </c>
      <c r="D256" s="13" t="str">
        <f>IF(C256="","",Plan!D29)</f>
        <v/>
      </c>
      <c r="E256" s="33" t="str">
        <f>IF(OR(C256="",Parametry!$G$6=""),"",DATE(Parametry!$G$6,8,1))</f>
        <v/>
      </c>
      <c r="F256" s="34" t="str">
        <f>IF(C256="","",Plan!R29)</f>
        <v/>
      </c>
      <c r="G256" s="34" t="str">
        <f>IF(C256="","",SUMIFS(ERP!$I$9:$I$1008,ERP!$L$9:$L$1008,C256,ERP!$N$9:$N$1008,1,ERP!$M$9:$M$1008,8))</f>
        <v/>
      </c>
      <c r="H256" s="34" t="str">
        <f>IF(C256="","",IF(8&lt;=Parametry!$G$7,0,SUMIFS(Umowy!$N$9:$N$108,Umowy!$D$9:$D$108,C256,Umowy!$O$9:$O$108,8)))</f>
        <v/>
      </c>
      <c r="I256" s="34" t="str">
        <f>IF(C256="","",IF(8&lt;=Parametry!$G$7,0,IF(COUNTIFS(Prognoza!$C$9:$C$38,C256)=1,IF(ISBLANK(INDEX(Prognoza!$K$9:$V$38,MATCH($C256,Prognoza!$C$9:$C$38,0),8)),"",IF(ISNUMBER(INDEX(Prognoza!$K$9:$V$38,MATCH($C256,Prognoza!$C$9:$C$38,0),8)),INDEX(Prognoza!$K$9:$V$38,MATCH($C256,Prognoza!$C$9:$C$38,0),8),"")),"")))</f>
        <v/>
      </c>
      <c r="J256" s="35" t="str">
        <f>IF(C256="","",IF(Plan!F29="Run",IF(ISNUMBER(INDEX(Parametry!$H$18:$S$18,1,8)),INDEX(Parametry!$H$18:$S$18,1,8),""),IF(ISNUMBER(INDEX(Parametry!$H$24:$S$24,1,8)),INDEX(Parametry!$H$24:$S$24,1,8),"")))</f>
        <v/>
      </c>
      <c r="K256" s="34" t="str">
        <f>IF(C256="","",IF(8&lt;=Parametry!$G$7,0,IF(AND(ISNUMBER(I256),ISNUMBER(J256),J256&gt;=-1),I256*(1+J256),"")))</f>
        <v/>
      </c>
      <c r="L256" s="34" t="str">
        <f>IF(C256="","",IF(8&lt;=Parametry!$G$7,G256,IF(ISNUMBER(K256),H256+K256,"")))</f>
        <v/>
      </c>
      <c r="M256" s="22" t="str">
        <f t="shared" si="6"/>
        <v/>
      </c>
      <c r="N256" s="7">
        <f t="shared" si="7"/>
        <v>0</v>
      </c>
      <c r="O256" s="7"/>
      <c r="P256" s="7"/>
    </row>
    <row r="257" spans="1:16" ht="24" customHeight="1">
      <c r="A257" s="7"/>
      <c r="B257" s="7"/>
      <c r="C257" s="13" t="str">
        <f>IF(Plan!C29="","",Plan!C29)</f>
        <v/>
      </c>
      <c r="D257" s="13" t="str">
        <f>IF(C257="","",Plan!D29)</f>
        <v/>
      </c>
      <c r="E257" s="33" t="str">
        <f>IF(OR(C257="",Parametry!$G$6=""),"",DATE(Parametry!$G$6,9,1))</f>
        <v/>
      </c>
      <c r="F257" s="34" t="str">
        <f>IF(C257="","",Plan!S29)</f>
        <v/>
      </c>
      <c r="G257" s="34" t="str">
        <f>IF(C257="","",SUMIFS(ERP!$I$9:$I$1008,ERP!$L$9:$L$1008,C257,ERP!$N$9:$N$1008,1,ERP!$M$9:$M$1008,9))</f>
        <v/>
      </c>
      <c r="H257" s="34" t="str">
        <f>IF(C257="","",IF(9&lt;=Parametry!$G$7,0,SUMIFS(Umowy!$N$9:$N$108,Umowy!$D$9:$D$108,C257,Umowy!$O$9:$O$108,9)))</f>
        <v/>
      </c>
      <c r="I257" s="34" t="str">
        <f>IF(C257="","",IF(9&lt;=Parametry!$G$7,0,IF(COUNTIFS(Prognoza!$C$9:$C$38,C257)=1,IF(ISBLANK(INDEX(Prognoza!$K$9:$V$38,MATCH($C257,Prognoza!$C$9:$C$38,0),9)),"",IF(ISNUMBER(INDEX(Prognoza!$K$9:$V$38,MATCH($C257,Prognoza!$C$9:$C$38,0),9)),INDEX(Prognoza!$K$9:$V$38,MATCH($C257,Prognoza!$C$9:$C$38,0),9),"")),"")))</f>
        <v/>
      </c>
      <c r="J257" s="35" t="str">
        <f>IF(C257="","",IF(Plan!F29="Run",IF(ISNUMBER(INDEX(Parametry!$H$18:$S$18,1,9)),INDEX(Parametry!$H$18:$S$18,1,9),""),IF(ISNUMBER(INDEX(Parametry!$H$24:$S$24,1,9)),INDEX(Parametry!$H$24:$S$24,1,9),"")))</f>
        <v/>
      </c>
      <c r="K257" s="34" t="str">
        <f>IF(C257="","",IF(9&lt;=Parametry!$G$7,0,IF(AND(ISNUMBER(I257),ISNUMBER(J257),J257&gt;=-1),I257*(1+J257),"")))</f>
        <v/>
      </c>
      <c r="L257" s="34" t="str">
        <f>IF(C257="","",IF(9&lt;=Parametry!$G$7,G257,IF(ISNUMBER(K257),H257+K257,"")))</f>
        <v/>
      </c>
      <c r="M257" s="22" t="str">
        <f t="shared" si="6"/>
        <v/>
      </c>
      <c r="N257" s="7">
        <f t="shared" si="7"/>
        <v>0</v>
      </c>
      <c r="O257" s="7"/>
      <c r="P257" s="7"/>
    </row>
    <row r="258" spans="1:16" ht="24" customHeight="1">
      <c r="A258" s="7"/>
      <c r="B258" s="7"/>
      <c r="C258" s="13" t="str">
        <f>IF(Plan!C29="","",Plan!C29)</f>
        <v/>
      </c>
      <c r="D258" s="13" t="str">
        <f>IF(C258="","",Plan!D29)</f>
        <v/>
      </c>
      <c r="E258" s="33" t="str">
        <f>IF(OR(C258="",Parametry!$G$6=""),"",DATE(Parametry!$G$6,10,1))</f>
        <v/>
      </c>
      <c r="F258" s="34" t="str">
        <f>IF(C258="","",Plan!T29)</f>
        <v/>
      </c>
      <c r="G258" s="34" t="str">
        <f>IF(C258="","",SUMIFS(ERP!$I$9:$I$1008,ERP!$L$9:$L$1008,C258,ERP!$N$9:$N$1008,1,ERP!$M$9:$M$1008,10))</f>
        <v/>
      </c>
      <c r="H258" s="34" t="str">
        <f>IF(C258="","",IF(10&lt;=Parametry!$G$7,0,SUMIFS(Umowy!$N$9:$N$108,Umowy!$D$9:$D$108,C258,Umowy!$O$9:$O$108,10)))</f>
        <v/>
      </c>
      <c r="I258" s="34" t="str">
        <f>IF(C258="","",IF(10&lt;=Parametry!$G$7,0,IF(COUNTIFS(Prognoza!$C$9:$C$38,C258)=1,IF(ISBLANK(INDEX(Prognoza!$K$9:$V$38,MATCH($C258,Prognoza!$C$9:$C$38,0),10)),"",IF(ISNUMBER(INDEX(Prognoza!$K$9:$V$38,MATCH($C258,Prognoza!$C$9:$C$38,0),10)),INDEX(Prognoza!$K$9:$V$38,MATCH($C258,Prognoza!$C$9:$C$38,0),10),"")),"")))</f>
        <v/>
      </c>
      <c r="J258" s="35" t="str">
        <f>IF(C258="","",IF(Plan!F29="Run",IF(ISNUMBER(INDEX(Parametry!$H$18:$S$18,1,10)),INDEX(Parametry!$H$18:$S$18,1,10),""),IF(ISNUMBER(INDEX(Parametry!$H$24:$S$24,1,10)),INDEX(Parametry!$H$24:$S$24,1,10),"")))</f>
        <v/>
      </c>
      <c r="K258" s="34" t="str">
        <f>IF(C258="","",IF(10&lt;=Parametry!$G$7,0,IF(AND(ISNUMBER(I258),ISNUMBER(J258),J258&gt;=-1),I258*(1+J258),"")))</f>
        <v/>
      </c>
      <c r="L258" s="34" t="str">
        <f>IF(C258="","",IF(10&lt;=Parametry!$G$7,G258,IF(ISNUMBER(K258),H258+K258,"")))</f>
        <v/>
      </c>
      <c r="M258" s="22" t="str">
        <f t="shared" si="6"/>
        <v/>
      </c>
      <c r="N258" s="7">
        <f t="shared" si="7"/>
        <v>0</v>
      </c>
      <c r="O258" s="7"/>
      <c r="P258" s="7"/>
    </row>
    <row r="259" spans="1:16" ht="24" customHeight="1">
      <c r="A259" s="7"/>
      <c r="B259" s="7"/>
      <c r="C259" s="13" t="str">
        <f>IF(Plan!C29="","",Plan!C29)</f>
        <v/>
      </c>
      <c r="D259" s="13" t="str">
        <f>IF(C259="","",Plan!D29)</f>
        <v/>
      </c>
      <c r="E259" s="33" t="str">
        <f>IF(OR(C259="",Parametry!$G$6=""),"",DATE(Parametry!$G$6,11,1))</f>
        <v/>
      </c>
      <c r="F259" s="34" t="str">
        <f>IF(C259="","",Plan!U29)</f>
        <v/>
      </c>
      <c r="G259" s="34" t="str">
        <f>IF(C259="","",SUMIFS(ERP!$I$9:$I$1008,ERP!$L$9:$L$1008,C259,ERP!$N$9:$N$1008,1,ERP!$M$9:$M$1008,11))</f>
        <v/>
      </c>
      <c r="H259" s="34" t="str">
        <f>IF(C259="","",IF(11&lt;=Parametry!$G$7,0,SUMIFS(Umowy!$N$9:$N$108,Umowy!$D$9:$D$108,C259,Umowy!$O$9:$O$108,11)))</f>
        <v/>
      </c>
      <c r="I259" s="34" t="str">
        <f>IF(C259="","",IF(11&lt;=Parametry!$G$7,0,IF(COUNTIFS(Prognoza!$C$9:$C$38,C259)=1,IF(ISBLANK(INDEX(Prognoza!$K$9:$V$38,MATCH($C259,Prognoza!$C$9:$C$38,0),11)),"",IF(ISNUMBER(INDEX(Prognoza!$K$9:$V$38,MATCH($C259,Prognoza!$C$9:$C$38,0),11)),INDEX(Prognoza!$K$9:$V$38,MATCH($C259,Prognoza!$C$9:$C$38,0),11),"")),"")))</f>
        <v/>
      </c>
      <c r="J259" s="35" t="str">
        <f>IF(C259="","",IF(Plan!F29="Run",IF(ISNUMBER(INDEX(Parametry!$H$18:$S$18,1,11)),INDEX(Parametry!$H$18:$S$18,1,11),""),IF(ISNUMBER(INDEX(Parametry!$H$24:$S$24,1,11)),INDEX(Parametry!$H$24:$S$24,1,11),"")))</f>
        <v/>
      </c>
      <c r="K259" s="34" t="str">
        <f>IF(C259="","",IF(11&lt;=Parametry!$G$7,0,IF(AND(ISNUMBER(I259),ISNUMBER(J259),J259&gt;=-1),I259*(1+J259),"")))</f>
        <v/>
      </c>
      <c r="L259" s="34" t="str">
        <f>IF(C259="","",IF(11&lt;=Parametry!$G$7,G259,IF(ISNUMBER(K259),H259+K259,"")))</f>
        <v/>
      </c>
      <c r="M259" s="22" t="str">
        <f t="shared" si="6"/>
        <v/>
      </c>
      <c r="N259" s="7">
        <f t="shared" si="7"/>
        <v>0</v>
      </c>
      <c r="O259" s="7"/>
      <c r="P259" s="7"/>
    </row>
    <row r="260" spans="1:16" ht="24" customHeight="1">
      <c r="A260" s="7"/>
      <c r="B260" s="7"/>
      <c r="C260" s="13" t="str">
        <f>IF(Plan!C29="","",Plan!C29)</f>
        <v/>
      </c>
      <c r="D260" s="13" t="str">
        <f>IF(C260="","",Plan!D29)</f>
        <v/>
      </c>
      <c r="E260" s="33" t="str">
        <f>IF(OR(C260="",Parametry!$G$6=""),"",DATE(Parametry!$G$6,12,1))</f>
        <v/>
      </c>
      <c r="F260" s="34" t="str">
        <f>IF(C260="","",Plan!V29)</f>
        <v/>
      </c>
      <c r="G260" s="34" t="str">
        <f>IF(C260="","",SUMIFS(ERP!$I$9:$I$1008,ERP!$L$9:$L$1008,C260,ERP!$N$9:$N$1008,1,ERP!$M$9:$M$1008,12))</f>
        <v/>
      </c>
      <c r="H260" s="34" t="str">
        <f>IF(C260="","",IF(12&lt;=Parametry!$G$7,0,SUMIFS(Umowy!$N$9:$N$108,Umowy!$D$9:$D$108,C260,Umowy!$O$9:$O$108,12)))</f>
        <v/>
      </c>
      <c r="I260" s="34" t="str">
        <f>IF(C260="","",IF(12&lt;=Parametry!$G$7,0,IF(COUNTIFS(Prognoza!$C$9:$C$38,C260)=1,IF(ISBLANK(INDEX(Prognoza!$K$9:$V$38,MATCH($C260,Prognoza!$C$9:$C$38,0),12)),"",IF(ISNUMBER(INDEX(Prognoza!$K$9:$V$38,MATCH($C260,Prognoza!$C$9:$C$38,0),12)),INDEX(Prognoza!$K$9:$V$38,MATCH($C260,Prognoza!$C$9:$C$38,0),12),"")),"")))</f>
        <v/>
      </c>
      <c r="J260" s="35" t="str">
        <f>IF(C260="","",IF(Plan!F29="Run",IF(ISNUMBER(INDEX(Parametry!$H$18:$S$18,1,12)),INDEX(Parametry!$H$18:$S$18,1,12),""),IF(ISNUMBER(INDEX(Parametry!$H$24:$S$24,1,12)),INDEX(Parametry!$H$24:$S$24,1,12),"")))</f>
        <v/>
      </c>
      <c r="K260" s="34" t="str">
        <f>IF(C260="","",IF(12&lt;=Parametry!$G$7,0,IF(AND(ISNUMBER(I260),ISNUMBER(J260),J260&gt;=-1),I260*(1+J260),"")))</f>
        <v/>
      </c>
      <c r="L260" s="34" t="str">
        <f>IF(C260="","",IF(12&lt;=Parametry!$G$7,G260,IF(ISNUMBER(K260),H260+K260,"")))</f>
        <v/>
      </c>
      <c r="M260" s="22" t="str">
        <f t="shared" si="6"/>
        <v/>
      </c>
      <c r="N260" s="7">
        <f t="shared" si="7"/>
        <v>0</v>
      </c>
      <c r="O260" s="7"/>
      <c r="P260" s="7"/>
    </row>
    <row r="261" spans="1:16" ht="24" customHeight="1">
      <c r="A261" s="7"/>
      <c r="B261" s="7"/>
      <c r="C261" s="13" t="str">
        <f>IF(Plan!C30="","",Plan!C30)</f>
        <v/>
      </c>
      <c r="D261" s="13" t="str">
        <f>IF(C261="","",Plan!D30)</f>
        <v/>
      </c>
      <c r="E261" s="33" t="str">
        <f>IF(OR(C261="",Parametry!$G$6=""),"",DATE(Parametry!$G$6,1,1))</f>
        <v/>
      </c>
      <c r="F261" s="34" t="str">
        <f>IF(C261="","",Plan!K30)</f>
        <v/>
      </c>
      <c r="G261" s="34" t="str">
        <f>IF(C261="","",SUMIFS(ERP!$I$9:$I$1008,ERP!$L$9:$L$1008,C261,ERP!$N$9:$N$1008,1,ERP!$M$9:$M$1008,1))</f>
        <v/>
      </c>
      <c r="H261" s="34" t="str">
        <f>IF(C261="","",IF(1&lt;=Parametry!$G$7,0,SUMIFS(Umowy!$N$9:$N$108,Umowy!$D$9:$D$108,C261,Umowy!$O$9:$O$108,1)))</f>
        <v/>
      </c>
      <c r="I261" s="34" t="str">
        <f>IF(C261="","",IF(1&lt;=Parametry!$G$7,0,IF(COUNTIFS(Prognoza!$C$9:$C$38,C261)=1,IF(ISBLANK(INDEX(Prognoza!$K$9:$V$38,MATCH($C261,Prognoza!$C$9:$C$38,0),1)),"",IF(ISNUMBER(INDEX(Prognoza!$K$9:$V$38,MATCH($C261,Prognoza!$C$9:$C$38,0),1)),INDEX(Prognoza!$K$9:$V$38,MATCH($C261,Prognoza!$C$9:$C$38,0),1),"")),"")))</f>
        <v/>
      </c>
      <c r="J261" s="35" t="str">
        <f>IF(C261="","",IF(Plan!F30="Run",IF(ISNUMBER(INDEX(Parametry!$H$18:$S$18,1,1)),INDEX(Parametry!$H$18:$S$18,1,1),""),IF(ISNUMBER(INDEX(Parametry!$H$24:$S$24,1,1)),INDEX(Parametry!$H$24:$S$24,1,1),"")))</f>
        <v/>
      </c>
      <c r="K261" s="34" t="str">
        <f>IF(C261="","",IF(1&lt;=Parametry!$G$7,0,IF(AND(ISNUMBER(I261),ISNUMBER(J261),J261&gt;=-1),I261*(1+J261),"")))</f>
        <v/>
      </c>
      <c r="L261" s="34" t="str">
        <f>IF(C261="","",IF(1&lt;=Parametry!$G$7,G261,IF(ISNUMBER(K261),H261+K261,"")))</f>
        <v/>
      </c>
      <c r="M261" s="22" t="str">
        <f t="shared" si="6"/>
        <v/>
      </c>
      <c r="N261" s="7">
        <f t="shared" si="7"/>
        <v>0</v>
      </c>
      <c r="O261" s="7"/>
      <c r="P261" s="7"/>
    </row>
    <row r="262" spans="1:16" ht="24" customHeight="1">
      <c r="A262" s="7"/>
      <c r="B262" s="7"/>
      <c r="C262" s="13" t="str">
        <f>IF(Plan!C30="","",Plan!C30)</f>
        <v/>
      </c>
      <c r="D262" s="13" t="str">
        <f>IF(C262="","",Plan!D30)</f>
        <v/>
      </c>
      <c r="E262" s="33" t="str">
        <f>IF(OR(C262="",Parametry!$G$6=""),"",DATE(Parametry!$G$6,2,1))</f>
        <v/>
      </c>
      <c r="F262" s="34" t="str">
        <f>IF(C262="","",Plan!L30)</f>
        <v/>
      </c>
      <c r="G262" s="34" t="str">
        <f>IF(C262="","",SUMIFS(ERP!$I$9:$I$1008,ERP!$L$9:$L$1008,C262,ERP!$N$9:$N$1008,1,ERP!$M$9:$M$1008,2))</f>
        <v/>
      </c>
      <c r="H262" s="34" t="str">
        <f>IF(C262="","",IF(2&lt;=Parametry!$G$7,0,SUMIFS(Umowy!$N$9:$N$108,Umowy!$D$9:$D$108,C262,Umowy!$O$9:$O$108,2)))</f>
        <v/>
      </c>
      <c r="I262" s="34" t="str">
        <f>IF(C262="","",IF(2&lt;=Parametry!$G$7,0,IF(COUNTIFS(Prognoza!$C$9:$C$38,C262)=1,IF(ISBLANK(INDEX(Prognoza!$K$9:$V$38,MATCH($C262,Prognoza!$C$9:$C$38,0),2)),"",IF(ISNUMBER(INDEX(Prognoza!$K$9:$V$38,MATCH($C262,Prognoza!$C$9:$C$38,0),2)),INDEX(Prognoza!$K$9:$V$38,MATCH($C262,Prognoza!$C$9:$C$38,0),2),"")),"")))</f>
        <v/>
      </c>
      <c r="J262" s="35" t="str">
        <f>IF(C262="","",IF(Plan!F30="Run",IF(ISNUMBER(INDEX(Parametry!$H$18:$S$18,1,2)),INDEX(Parametry!$H$18:$S$18,1,2),""),IF(ISNUMBER(INDEX(Parametry!$H$24:$S$24,1,2)),INDEX(Parametry!$H$24:$S$24,1,2),"")))</f>
        <v/>
      </c>
      <c r="K262" s="34" t="str">
        <f>IF(C262="","",IF(2&lt;=Parametry!$G$7,0,IF(AND(ISNUMBER(I262),ISNUMBER(J262),J262&gt;=-1),I262*(1+J262),"")))</f>
        <v/>
      </c>
      <c r="L262" s="34" t="str">
        <f>IF(C262="","",IF(2&lt;=Parametry!$G$7,G262,IF(ISNUMBER(K262),H262+K262,"")))</f>
        <v/>
      </c>
      <c r="M262" s="22" t="str">
        <f t="shared" si="6"/>
        <v/>
      </c>
      <c r="N262" s="7">
        <f t="shared" si="7"/>
        <v>0</v>
      </c>
      <c r="O262" s="7"/>
      <c r="P262" s="7"/>
    </row>
    <row r="263" spans="1:16" ht="24" customHeight="1">
      <c r="A263" s="7"/>
      <c r="B263" s="7"/>
      <c r="C263" s="13" t="str">
        <f>IF(Plan!C30="","",Plan!C30)</f>
        <v/>
      </c>
      <c r="D263" s="13" t="str">
        <f>IF(C263="","",Plan!D30)</f>
        <v/>
      </c>
      <c r="E263" s="33" t="str">
        <f>IF(OR(C263="",Parametry!$G$6=""),"",DATE(Parametry!$G$6,3,1))</f>
        <v/>
      </c>
      <c r="F263" s="34" t="str">
        <f>IF(C263="","",Plan!M30)</f>
        <v/>
      </c>
      <c r="G263" s="34" t="str">
        <f>IF(C263="","",SUMIFS(ERP!$I$9:$I$1008,ERP!$L$9:$L$1008,C263,ERP!$N$9:$N$1008,1,ERP!$M$9:$M$1008,3))</f>
        <v/>
      </c>
      <c r="H263" s="34" t="str">
        <f>IF(C263="","",IF(3&lt;=Parametry!$G$7,0,SUMIFS(Umowy!$N$9:$N$108,Umowy!$D$9:$D$108,C263,Umowy!$O$9:$O$108,3)))</f>
        <v/>
      </c>
      <c r="I263" s="34" t="str">
        <f>IF(C263="","",IF(3&lt;=Parametry!$G$7,0,IF(COUNTIFS(Prognoza!$C$9:$C$38,C263)=1,IF(ISBLANK(INDEX(Prognoza!$K$9:$V$38,MATCH($C263,Prognoza!$C$9:$C$38,0),3)),"",IF(ISNUMBER(INDEX(Prognoza!$K$9:$V$38,MATCH($C263,Prognoza!$C$9:$C$38,0),3)),INDEX(Prognoza!$K$9:$V$38,MATCH($C263,Prognoza!$C$9:$C$38,0),3),"")),"")))</f>
        <v/>
      </c>
      <c r="J263" s="35" t="str">
        <f>IF(C263="","",IF(Plan!F30="Run",IF(ISNUMBER(INDEX(Parametry!$H$18:$S$18,1,3)),INDEX(Parametry!$H$18:$S$18,1,3),""),IF(ISNUMBER(INDEX(Parametry!$H$24:$S$24,1,3)),INDEX(Parametry!$H$24:$S$24,1,3),"")))</f>
        <v/>
      </c>
      <c r="K263" s="34" t="str">
        <f>IF(C263="","",IF(3&lt;=Parametry!$G$7,0,IF(AND(ISNUMBER(I263),ISNUMBER(J263),J263&gt;=-1),I263*(1+J263),"")))</f>
        <v/>
      </c>
      <c r="L263" s="34" t="str">
        <f>IF(C263="","",IF(3&lt;=Parametry!$G$7,G263,IF(ISNUMBER(K263),H263+K263,"")))</f>
        <v/>
      </c>
      <c r="M263" s="22" t="str">
        <f t="shared" si="6"/>
        <v/>
      </c>
      <c r="N263" s="7">
        <f t="shared" si="7"/>
        <v>0</v>
      </c>
      <c r="O263" s="7"/>
      <c r="P263" s="7"/>
    </row>
    <row r="264" spans="1:16" ht="24" customHeight="1">
      <c r="A264" s="7"/>
      <c r="B264" s="7"/>
      <c r="C264" s="13" t="str">
        <f>IF(Plan!C30="","",Plan!C30)</f>
        <v/>
      </c>
      <c r="D264" s="13" t="str">
        <f>IF(C264="","",Plan!D30)</f>
        <v/>
      </c>
      <c r="E264" s="33" t="str">
        <f>IF(OR(C264="",Parametry!$G$6=""),"",DATE(Parametry!$G$6,4,1))</f>
        <v/>
      </c>
      <c r="F264" s="34" t="str">
        <f>IF(C264="","",Plan!N30)</f>
        <v/>
      </c>
      <c r="G264" s="34" t="str">
        <f>IF(C264="","",SUMIFS(ERP!$I$9:$I$1008,ERP!$L$9:$L$1008,C264,ERP!$N$9:$N$1008,1,ERP!$M$9:$M$1008,4))</f>
        <v/>
      </c>
      <c r="H264" s="34" t="str">
        <f>IF(C264="","",IF(4&lt;=Parametry!$G$7,0,SUMIFS(Umowy!$N$9:$N$108,Umowy!$D$9:$D$108,C264,Umowy!$O$9:$O$108,4)))</f>
        <v/>
      </c>
      <c r="I264" s="34" t="str">
        <f>IF(C264="","",IF(4&lt;=Parametry!$G$7,0,IF(COUNTIFS(Prognoza!$C$9:$C$38,C264)=1,IF(ISBLANK(INDEX(Prognoza!$K$9:$V$38,MATCH($C264,Prognoza!$C$9:$C$38,0),4)),"",IF(ISNUMBER(INDEX(Prognoza!$K$9:$V$38,MATCH($C264,Prognoza!$C$9:$C$38,0),4)),INDEX(Prognoza!$K$9:$V$38,MATCH($C264,Prognoza!$C$9:$C$38,0),4),"")),"")))</f>
        <v/>
      </c>
      <c r="J264" s="35" t="str">
        <f>IF(C264="","",IF(Plan!F30="Run",IF(ISNUMBER(INDEX(Parametry!$H$18:$S$18,1,4)),INDEX(Parametry!$H$18:$S$18,1,4),""),IF(ISNUMBER(INDEX(Parametry!$H$24:$S$24,1,4)),INDEX(Parametry!$H$24:$S$24,1,4),"")))</f>
        <v/>
      </c>
      <c r="K264" s="34" t="str">
        <f>IF(C264="","",IF(4&lt;=Parametry!$G$7,0,IF(AND(ISNUMBER(I264),ISNUMBER(J264),J264&gt;=-1),I264*(1+J264),"")))</f>
        <v/>
      </c>
      <c r="L264" s="34" t="str">
        <f>IF(C264="","",IF(4&lt;=Parametry!$G$7,G264,IF(ISNUMBER(K264),H264+K264,"")))</f>
        <v/>
      </c>
      <c r="M264" s="22" t="str">
        <f t="shared" si="6"/>
        <v/>
      </c>
      <c r="N264" s="7">
        <f t="shared" si="7"/>
        <v>0</v>
      </c>
      <c r="O264" s="7"/>
      <c r="P264" s="7"/>
    </row>
    <row r="265" spans="1:16" ht="24" customHeight="1">
      <c r="A265" s="7"/>
      <c r="B265" s="7"/>
      <c r="C265" s="13" t="str">
        <f>IF(Plan!C30="","",Plan!C30)</f>
        <v/>
      </c>
      <c r="D265" s="13" t="str">
        <f>IF(C265="","",Plan!D30)</f>
        <v/>
      </c>
      <c r="E265" s="33" t="str">
        <f>IF(OR(C265="",Parametry!$G$6=""),"",DATE(Parametry!$G$6,5,1))</f>
        <v/>
      </c>
      <c r="F265" s="34" t="str">
        <f>IF(C265="","",Plan!O30)</f>
        <v/>
      </c>
      <c r="G265" s="34" t="str">
        <f>IF(C265="","",SUMIFS(ERP!$I$9:$I$1008,ERP!$L$9:$L$1008,C265,ERP!$N$9:$N$1008,1,ERP!$M$9:$M$1008,5))</f>
        <v/>
      </c>
      <c r="H265" s="34" t="str">
        <f>IF(C265="","",IF(5&lt;=Parametry!$G$7,0,SUMIFS(Umowy!$N$9:$N$108,Umowy!$D$9:$D$108,C265,Umowy!$O$9:$O$108,5)))</f>
        <v/>
      </c>
      <c r="I265" s="34" t="str">
        <f>IF(C265="","",IF(5&lt;=Parametry!$G$7,0,IF(COUNTIFS(Prognoza!$C$9:$C$38,C265)=1,IF(ISBLANK(INDEX(Prognoza!$K$9:$V$38,MATCH($C265,Prognoza!$C$9:$C$38,0),5)),"",IF(ISNUMBER(INDEX(Prognoza!$K$9:$V$38,MATCH($C265,Prognoza!$C$9:$C$38,0),5)),INDEX(Prognoza!$K$9:$V$38,MATCH($C265,Prognoza!$C$9:$C$38,0),5),"")),"")))</f>
        <v/>
      </c>
      <c r="J265" s="35" t="str">
        <f>IF(C265="","",IF(Plan!F30="Run",IF(ISNUMBER(INDEX(Parametry!$H$18:$S$18,1,5)),INDEX(Parametry!$H$18:$S$18,1,5),""),IF(ISNUMBER(INDEX(Parametry!$H$24:$S$24,1,5)),INDEX(Parametry!$H$24:$S$24,1,5),"")))</f>
        <v/>
      </c>
      <c r="K265" s="34" t="str">
        <f>IF(C265="","",IF(5&lt;=Parametry!$G$7,0,IF(AND(ISNUMBER(I265),ISNUMBER(J265),J265&gt;=-1),I265*(1+J265),"")))</f>
        <v/>
      </c>
      <c r="L265" s="34" t="str">
        <f>IF(C265="","",IF(5&lt;=Parametry!$G$7,G265,IF(ISNUMBER(K265),H265+K265,"")))</f>
        <v/>
      </c>
      <c r="M265" s="22" t="str">
        <f t="shared" ref="M265:M328" si="8">IF(AND(C265&lt;&gt;"",ISNUMBER(L265)),L265-F265,"")</f>
        <v/>
      </c>
      <c r="N265" s="7">
        <f t="shared" ref="N265:N328" si="9">IF(C265="",0,IF(ISNUMBER(L265),0,1))</f>
        <v>0</v>
      </c>
      <c r="O265" s="7"/>
      <c r="P265" s="7"/>
    </row>
    <row r="266" spans="1:16" ht="24" customHeight="1">
      <c r="A266" s="7"/>
      <c r="B266" s="7"/>
      <c r="C266" s="13" t="str">
        <f>IF(Plan!C30="","",Plan!C30)</f>
        <v/>
      </c>
      <c r="D266" s="13" t="str">
        <f>IF(C266="","",Plan!D30)</f>
        <v/>
      </c>
      <c r="E266" s="33" t="str">
        <f>IF(OR(C266="",Parametry!$G$6=""),"",DATE(Parametry!$G$6,6,1))</f>
        <v/>
      </c>
      <c r="F266" s="34" t="str">
        <f>IF(C266="","",Plan!P30)</f>
        <v/>
      </c>
      <c r="G266" s="34" t="str">
        <f>IF(C266="","",SUMIFS(ERP!$I$9:$I$1008,ERP!$L$9:$L$1008,C266,ERP!$N$9:$N$1008,1,ERP!$M$9:$M$1008,6))</f>
        <v/>
      </c>
      <c r="H266" s="34" t="str">
        <f>IF(C266="","",IF(6&lt;=Parametry!$G$7,0,SUMIFS(Umowy!$N$9:$N$108,Umowy!$D$9:$D$108,C266,Umowy!$O$9:$O$108,6)))</f>
        <v/>
      </c>
      <c r="I266" s="34" t="str">
        <f>IF(C266="","",IF(6&lt;=Parametry!$G$7,0,IF(COUNTIFS(Prognoza!$C$9:$C$38,C266)=1,IF(ISBLANK(INDEX(Prognoza!$K$9:$V$38,MATCH($C266,Prognoza!$C$9:$C$38,0),6)),"",IF(ISNUMBER(INDEX(Prognoza!$K$9:$V$38,MATCH($C266,Prognoza!$C$9:$C$38,0),6)),INDEX(Prognoza!$K$9:$V$38,MATCH($C266,Prognoza!$C$9:$C$38,0),6),"")),"")))</f>
        <v/>
      </c>
      <c r="J266" s="35" t="str">
        <f>IF(C266="","",IF(Plan!F30="Run",IF(ISNUMBER(INDEX(Parametry!$H$18:$S$18,1,6)),INDEX(Parametry!$H$18:$S$18,1,6),""),IF(ISNUMBER(INDEX(Parametry!$H$24:$S$24,1,6)),INDEX(Parametry!$H$24:$S$24,1,6),"")))</f>
        <v/>
      </c>
      <c r="K266" s="34" t="str">
        <f>IF(C266="","",IF(6&lt;=Parametry!$G$7,0,IF(AND(ISNUMBER(I266),ISNUMBER(J266),J266&gt;=-1),I266*(1+J266),"")))</f>
        <v/>
      </c>
      <c r="L266" s="34" t="str">
        <f>IF(C266="","",IF(6&lt;=Parametry!$G$7,G266,IF(ISNUMBER(K266),H266+K266,"")))</f>
        <v/>
      </c>
      <c r="M266" s="22" t="str">
        <f t="shared" si="8"/>
        <v/>
      </c>
      <c r="N266" s="7">
        <f t="shared" si="9"/>
        <v>0</v>
      </c>
      <c r="O266" s="7"/>
      <c r="P266" s="7"/>
    </row>
    <row r="267" spans="1:16" ht="24" customHeight="1">
      <c r="A267" s="7"/>
      <c r="B267" s="7"/>
      <c r="C267" s="13" t="str">
        <f>IF(Plan!C30="","",Plan!C30)</f>
        <v/>
      </c>
      <c r="D267" s="13" t="str">
        <f>IF(C267="","",Plan!D30)</f>
        <v/>
      </c>
      <c r="E267" s="33" t="str">
        <f>IF(OR(C267="",Parametry!$G$6=""),"",DATE(Parametry!$G$6,7,1))</f>
        <v/>
      </c>
      <c r="F267" s="34" t="str">
        <f>IF(C267="","",Plan!Q30)</f>
        <v/>
      </c>
      <c r="G267" s="34" t="str">
        <f>IF(C267="","",SUMIFS(ERP!$I$9:$I$1008,ERP!$L$9:$L$1008,C267,ERP!$N$9:$N$1008,1,ERP!$M$9:$M$1008,7))</f>
        <v/>
      </c>
      <c r="H267" s="34" t="str">
        <f>IF(C267="","",IF(7&lt;=Parametry!$G$7,0,SUMIFS(Umowy!$N$9:$N$108,Umowy!$D$9:$D$108,C267,Umowy!$O$9:$O$108,7)))</f>
        <v/>
      </c>
      <c r="I267" s="34" t="str">
        <f>IF(C267="","",IF(7&lt;=Parametry!$G$7,0,IF(COUNTIFS(Prognoza!$C$9:$C$38,C267)=1,IF(ISBLANK(INDEX(Prognoza!$K$9:$V$38,MATCH($C267,Prognoza!$C$9:$C$38,0),7)),"",IF(ISNUMBER(INDEX(Prognoza!$K$9:$V$38,MATCH($C267,Prognoza!$C$9:$C$38,0),7)),INDEX(Prognoza!$K$9:$V$38,MATCH($C267,Prognoza!$C$9:$C$38,0),7),"")),"")))</f>
        <v/>
      </c>
      <c r="J267" s="35" t="str">
        <f>IF(C267="","",IF(Plan!F30="Run",IF(ISNUMBER(INDEX(Parametry!$H$18:$S$18,1,7)),INDEX(Parametry!$H$18:$S$18,1,7),""),IF(ISNUMBER(INDEX(Parametry!$H$24:$S$24,1,7)),INDEX(Parametry!$H$24:$S$24,1,7),"")))</f>
        <v/>
      </c>
      <c r="K267" s="34" t="str">
        <f>IF(C267="","",IF(7&lt;=Parametry!$G$7,0,IF(AND(ISNUMBER(I267),ISNUMBER(J267),J267&gt;=-1),I267*(1+J267),"")))</f>
        <v/>
      </c>
      <c r="L267" s="34" t="str">
        <f>IF(C267="","",IF(7&lt;=Parametry!$G$7,G267,IF(ISNUMBER(K267),H267+K267,"")))</f>
        <v/>
      </c>
      <c r="M267" s="22" t="str">
        <f t="shared" si="8"/>
        <v/>
      </c>
      <c r="N267" s="7">
        <f t="shared" si="9"/>
        <v>0</v>
      </c>
      <c r="O267" s="7"/>
      <c r="P267" s="7"/>
    </row>
    <row r="268" spans="1:16" ht="24" customHeight="1">
      <c r="A268" s="7"/>
      <c r="B268" s="7"/>
      <c r="C268" s="13" t="str">
        <f>IF(Plan!C30="","",Plan!C30)</f>
        <v/>
      </c>
      <c r="D268" s="13" t="str">
        <f>IF(C268="","",Plan!D30)</f>
        <v/>
      </c>
      <c r="E268" s="33" t="str">
        <f>IF(OR(C268="",Parametry!$G$6=""),"",DATE(Parametry!$G$6,8,1))</f>
        <v/>
      </c>
      <c r="F268" s="34" t="str">
        <f>IF(C268="","",Plan!R30)</f>
        <v/>
      </c>
      <c r="G268" s="34" t="str">
        <f>IF(C268="","",SUMIFS(ERP!$I$9:$I$1008,ERP!$L$9:$L$1008,C268,ERP!$N$9:$N$1008,1,ERP!$M$9:$M$1008,8))</f>
        <v/>
      </c>
      <c r="H268" s="34" t="str">
        <f>IF(C268="","",IF(8&lt;=Parametry!$G$7,0,SUMIFS(Umowy!$N$9:$N$108,Umowy!$D$9:$D$108,C268,Umowy!$O$9:$O$108,8)))</f>
        <v/>
      </c>
      <c r="I268" s="34" t="str">
        <f>IF(C268="","",IF(8&lt;=Parametry!$G$7,0,IF(COUNTIFS(Prognoza!$C$9:$C$38,C268)=1,IF(ISBLANK(INDEX(Prognoza!$K$9:$V$38,MATCH($C268,Prognoza!$C$9:$C$38,0),8)),"",IF(ISNUMBER(INDEX(Prognoza!$K$9:$V$38,MATCH($C268,Prognoza!$C$9:$C$38,0),8)),INDEX(Prognoza!$K$9:$V$38,MATCH($C268,Prognoza!$C$9:$C$38,0),8),"")),"")))</f>
        <v/>
      </c>
      <c r="J268" s="35" t="str">
        <f>IF(C268="","",IF(Plan!F30="Run",IF(ISNUMBER(INDEX(Parametry!$H$18:$S$18,1,8)),INDEX(Parametry!$H$18:$S$18,1,8),""),IF(ISNUMBER(INDEX(Parametry!$H$24:$S$24,1,8)),INDEX(Parametry!$H$24:$S$24,1,8),"")))</f>
        <v/>
      </c>
      <c r="K268" s="34" t="str">
        <f>IF(C268="","",IF(8&lt;=Parametry!$G$7,0,IF(AND(ISNUMBER(I268),ISNUMBER(J268),J268&gt;=-1),I268*(1+J268),"")))</f>
        <v/>
      </c>
      <c r="L268" s="34" t="str">
        <f>IF(C268="","",IF(8&lt;=Parametry!$G$7,G268,IF(ISNUMBER(K268),H268+K268,"")))</f>
        <v/>
      </c>
      <c r="M268" s="22" t="str">
        <f t="shared" si="8"/>
        <v/>
      </c>
      <c r="N268" s="7">
        <f t="shared" si="9"/>
        <v>0</v>
      </c>
      <c r="O268" s="7"/>
      <c r="P268" s="7"/>
    </row>
    <row r="269" spans="1:16" ht="24" customHeight="1">
      <c r="A269" s="7"/>
      <c r="B269" s="7"/>
      <c r="C269" s="13" t="str">
        <f>IF(Plan!C30="","",Plan!C30)</f>
        <v/>
      </c>
      <c r="D269" s="13" t="str">
        <f>IF(C269="","",Plan!D30)</f>
        <v/>
      </c>
      <c r="E269" s="33" t="str">
        <f>IF(OR(C269="",Parametry!$G$6=""),"",DATE(Parametry!$G$6,9,1))</f>
        <v/>
      </c>
      <c r="F269" s="34" t="str">
        <f>IF(C269="","",Plan!S30)</f>
        <v/>
      </c>
      <c r="G269" s="34" t="str">
        <f>IF(C269="","",SUMIFS(ERP!$I$9:$I$1008,ERP!$L$9:$L$1008,C269,ERP!$N$9:$N$1008,1,ERP!$M$9:$M$1008,9))</f>
        <v/>
      </c>
      <c r="H269" s="34" t="str">
        <f>IF(C269="","",IF(9&lt;=Parametry!$G$7,0,SUMIFS(Umowy!$N$9:$N$108,Umowy!$D$9:$D$108,C269,Umowy!$O$9:$O$108,9)))</f>
        <v/>
      </c>
      <c r="I269" s="34" t="str">
        <f>IF(C269="","",IF(9&lt;=Parametry!$G$7,0,IF(COUNTIFS(Prognoza!$C$9:$C$38,C269)=1,IF(ISBLANK(INDEX(Prognoza!$K$9:$V$38,MATCH($C269,Prognoza!$C$9:$C$38,0),9)),"",IF(ISNUMBER(INDEX(Prognoza!$K$9:$V$38,MATCH($C269,Prognoza!$C$9:$C$38,0),9)),INDEX(Prognoza!$K$9:$V$38,MATCH($C269,Prognoza!$C$9:$C$38,0),9),"")),"")))</f>
        <v/>
      </c>
      <c r="J269" s="35" t="str">
        <f>IF(C269="","",IF(Plan!F30="Run",IF(ISNUMBER(INDEX(Parametry!$H$18:$S$18,1,9)),INDEX(Parametry!$H$18:$S$18,1,9),""),IF(ISNUMBER(INDEX(Parametry!$H$24:$S$24,1,9)),INDEX(Parametry!$H$24:$S$24,1,9),"")))</f>
        <v/>
      </c>
      <c r="K269" s="34" t="str">
        <f>IF(C269="","",IF(9&lt;=Parametry!$G$7,0,IF(AND(ISNUMBER(I269),ISNUMBER(J269),J269&gt;=-1),I269*(1+J269),"")))</f>
        <v/>
      </c>
      <c r="L269" s="34" t="str">
        <f>IF(C269="","",IF(9&lt;=Parametry!$G$7,G269,IF(ISNUMBER(K269),H269+K269,"")))</f>
        <v/>
      </c>
      <c r="M269" s="22" t="str">
        <f t="shared" si="8"/>
        <v/>
      </c>
      <c r="N269" s="7">
        <f t="shared" si="9"/>
        <v>0</v>
      </c>
      <c r="O269" s="7"/>
      <c r="P269" s="7"/>
    </row>
    <row r="270" spans="1:16" ht="24" customHeight="1">
      <c r="A270" s="7"/>
      <c r="B270" s="7"/>
      <c r="C270" s="13" t="str">
        <f>IF(Plan!C30="","",Plan!C30)</f>
        <v/>
      </c>
      <c r="D270" s="13" t="str">
        <f>IF(C270="","",Plan!D30)</f>
        <v/>
      </c>
      <c r="E270" s="33" t="str">
        <f>IF(OR(C270="",Parametry!$G$6=""),"",DATE(Parametry!$G$6,10,1))</f>
        <v/>
      </c>
      <c r="F270" s="34" t="str">
        <f>IF(C270="","",Plan!T30)</f>
        <v/>
      </c>
      <c r="G270" s="34" t="str">
        <f>IF(C270="","",SUMIFS(ERP!$I$9:$I$1008,ERP!$L$9:$L$1008,C270,ERP!$N$9:$N$1008,1,ERP!$M$9:$M$1008,10))</f>
        <v/>
      </c>
      <c r="H270" s="34" t="str">
        <f>IF(C270="","",IF(10&lt;=Parametry!$G$7,0,SUMIFS(Umowy!$N$9:$N$108,Umowy!$D$9:$D$108,C270,Umowy!$O$9:$O$108,10)))</f>
        <v/>
      </c>
      <c r="I270" s="34" t="str">
        <f>IF(C270="","",IF(10&lt;=Parametry!$G$7,0,IF(COUNTIFS(Prognoza!$C$9:$C$38,C270)=1,IF(ISBLANK(INDEX(Prognoza!$K$9:$V$38,MATCH($C270,Prognoza!$C$9:$C$38,0),10)),"",IF(ISNUMBER(INDEX(Prognoza!$K$9:$V$38,MATCH($C270,Prognoza!$C$9:$C$38,0),10)),INDEX(Prognoza!$K$9:$V$38,MATCH($C270,Prognoza!$C$9:$C$38,0),10),"")),"")))</f>
        <v/>
      </c>
      <c r="J270" s="35" t="str">
        <f>IF(C270="","",IF(Plan!F30="Run",IF(ISNUMBER(INDEX(Parametry!$H$18:$S$18,1,10)),INDEX(Parametry!$H$18:$S$18,1,10),""),IF(ISNUMBER(INDEX(Parametry!$H$24:$S$24,1,10)),INDEX(Parametry!$H$24:$S$24,1,10),"")))</f>
        <v/>
      </c>
      <c r="K270" s="34" t="str">
        <f>IF(C270="","",IF(10&lt;=Parametry!$G$7,0,IF(AND(ISNUMBER(I270),ISNUMBER(J270),J270&gt;=-1),I270*(1+J270),"")))</f>
        <v/>
      </c>
      <c r="L270" s="34" t="str">
        <f>IF(C270="","",IF(10&lt;=Parametry!$G$7,G270,IF(ISNUMBER(K270),H270+K270,"")))</f>
        <v/>
      </c>
      <c r="M270" s="22" t="str">
        <f t="shared" si="8"/>
        <v/>
      </c>
      <c r="N270" s="7">
        <f t="shared" si="9"/>
        <v>0</v>
      </c>
      <c r="O270" s="7"/>
      <c r="P270" s="7"/>
    </row>
    <row r="271" spans="1:16" ht="24" customHeight="1">
      <c r="A271" s="7"/>
      <c r="B271" s="7"/>
      <c r="C271" s="13" t="str">
        <f>IF(Plan!C30="","",Plan!C30)</f>
        <v/>
      </c>
      <c r="D271" s="13" t="str">
        <f>IF(C271="","",Plan!D30)</f>
        <v/>
      </c>
      <c r="E271" s="33" t="str">
        <f>IF(OR(C271="",Parametry!$G$6=""),"",DATE(Parametry!$G$6,11,1))</f>
        <v/>
      </c>
      <c r="F271" s="34" t="str">
        <f>IF(C271="","",Plan!U30)</f>
        <v/>
      </c>
      <c r="G271" s="34" t="str">
        <f>IF(C271="","",SUMIFS(ERP!$I$9:$I$1008,ERP!$L$9:$L$1008,C271,ERP!$N$9:$N$1008,1,ERP!$M$9:$M$1008,11))</f>
        <v/>
      </c>
      <c r="H271" s="34" t="str">
        <f>IF(C271="","",IF(11&lt;=Parametry!$G$7,0,SUMIFS(Umowy!$N$9:$N$108,Umowy!$D$9:$D$108,C271,Umowy!$O$9:$O$108,11)))</f>
        <v/>
      </c>
      <c r="I271" s="34" t="str">
        <f>IF(C271="","",IF(11&lt;=Parametry!$G$7,0,IF(COUNTIFS(Prognoza!$C$9:$C$38,C271)=1,IF(ISBLANK(INDEX(Prognoza!$K$9:$V$38,MATCH($C271,Prognoza!$C$9:$C$38,0),11)),"",IF(ISNUMBER(INDEX(Prognoza!$K$9:$V$38,MATCH($C271,Prognoza!$C$9:$C$38,0),11)),INDEX(Prognoza!$K$9:$V$38,MATCH($C271,Prognoza!$C$9:$C$38,0),11),"")),"")))</f>
        <v/>
      </c>
      <c r="J271" s="35" t="str">
        <f>IF(C271="","",IF(Plan!F30="Run",IF(ISNUMBER(INDEX(Parametry!$H$18:$S$18,1,11)),INDEX(Parametry!$H$18:$S$18,1,11),""),IF(ISNUMBER(INDEX(Parametry!$H$24:$S$24,1,11)),INDEX(Parametry!$H$24:$S$24,1,11),"")))</f>
        <v/>
      </c>
      <c r="K271" s="34" t="str">
        <f>IF(C271="","",IF(11&lt;=Parametry!$G$7,0,IF(AND(ISNUMBER(I271),ISNUMBER(J271),J271&gt;=-1),I271*(1+J271),"")))</f>
        <v/>
      </c>
      <c r="L271" s="34" t="str">
        <f>IF(C271="","",IF(11&lt;=Parametry!$G$7,G271,IF(ISNUMBER(K271),H271+K271,"")))</f>
        <v/>
      </c>
      <c r="M271" s="22" t="str">
        <f t="shared" si="8"/>
        <v/>
      </c>
      <c r="N271" s="7">
        <f t="shared" si="9"/>
        <v>0</v>
      </c>
      <c r="O271" s="7"/>
      <c r="P271" s="7"/>
    </row>
    <row r="272" spans="1:16" ht="24" customHeight="1">
      <c r="A272" s="7"/>
      <c r="B272" s="7"/>
      <c r="C272" s="13" t="str">
        <f>IF(Plan!C30="","",Plan!C30)</f>
        <v/>
      </c>
      <c r="D272" s="13" t="str">
        <f>IF(C272="","",Plan!D30)</f>
        <v/>
      </c>
      <c r="E272" s="33" t="str">
        <f>IF(OR(C272="",Parametry!$G$6=""),"",DATE(Parametry!$G$6,12,1))</f>
        <v/>
      </c>
      <c r="F272" s="34" t="str">
        <f>IF(C272="","",Plan!V30)</f>
        <v/>
      </c>
      <c r="G272" s="34" t="str">
        <f>IF(C272="","",SUMIFS(ERP!$I$9:$I$1008,ERP!$L$9:$L$1008,C272,ERP!$N$9:$N$1008,1,ERP!$M$9:$M$1008,12))</f>
        <v/>
      </c>
      <c r="H272" s="34" t="str">
        <f>IF(C272="","",IF(12&lt;=Parametry!$G$7,0,SUMIFS(Umowy!$N$9:$N$108,Umowy!$D$9:$D$108,C272,Umowy!$O$9:$O$108,12)))</f>
        <v/>
      </c>
      <c r="I272" s="34" t="str">
        <f>IF(C272="","",IF(12&lt;=Parametry!$G$7,0,IF(COUNTIFS(Prognoza!$C$9:$C$38,C272)=1,IF(ISBLANK(INDEX(Prognoza!$K$9:$V$38,MATCH($C272,Prognoza!$C$9:$C$38,0),12)),"",IF(ISNUMBER(INDEX(Prognoza!$K$9:$V$38,MATCH($C272,Prognoza!$C$9:$C$38,0),12)),INDEX(Prognoza!$K$9:$V$38,MATCH($C272,Prognoza!$C$9:$C$38,0),12),"")),"")))</f>
        <v/>
      </c>
      <c r="J272" s="35" t="str">
        <f>IF(C272="","",IF(Plan!F30="Run",IF(ISNUMBER(INDEX(Parametry!$H$18:$S$18,1,12)),INDEX(Parametry!$H$18:$S$18,1,12),""),IF(ISNUMBER(INDEX(Parametry!$H$24:$S$24,1,12)),INDEX(Parametry!$H$24:$S$24,1,12),"")))</f>
        <v/>
      </c>
      <c r="K272" s="34" t="str">
        <f>IF(C272="","",IF(12&lt;=Parametry!$G$7,0,IF(AND(ISNUMBER(I272),ISNUMBER(J272),J272&gt;=-1),I272*(1+J272),"")))</f>
        <v/>
      </c>
      <c r="L272" s="34" t="str">
        <f>IF(C272="","",IF(12&lt;=Parametry!$G$7,G272,IF(ISNUMBER(K272),H272+K272,"")))</f>
        <v/>
      </c>
      <c r="M272" s="22" t="str">
        <f t="shared" si="8"/>
        <v/>
      </c>
      <c r="N272" s="7">
        <f t="shared" si="9"/>
        <v>0</v>
      </c>
      <c r="O272" s="7"/>
      <c r="P272" s="7"/>
    </row>
    <row r="273" spans="1:16" ht="24" customHeight="1">
      <c r="A273" s="7"/>
      <c r="B273" s="7"/>
      <c r="C273" s="13" t="str">
        <f>IF(Plan!C31="","",Plan!C31)</f>
        <v/>
      </c>
      <c r="D273" s="13" t="str">
        <f>IF(C273="","",Plan!D31)</f>
        <v/>
      </c>
      <c r="E273" s="33" t="str">
        <f>IF(OR(C273="",Parametry!$G$6=""),"",DATE(Parametry!$G$6,1,1))</f>
        <v/>
      </c>
      <c r="F273" s="34" t="str">
        <f>IF(C273="","",Plan!K31)</f>
        <v/>
      </c>
      <c r="G273" s="34" t="str">
        <f>IF(C273="","",SUMIFS(ERP!$I$9:$I$1008,ERP!$L$9:$L$1008,C273,ERP!$N$9:$N$1008,1,ERP!$M$9:$M$1008,1))</f>
        <v/>
      </c>
      <c r="H273" s="34" t="str">
        <f>IF(C273="","",IF(1&lt;=Parametry!$G$7,0,SUMIFS(Umowy!$N$9:$N$108,Umowy!$D$9:$D$108,C273,Umowy!$O$9:$O$108,1)))</f>
        <v/>
      </c>
      <c r="I273" s="34" t="str">
        <f>IF(C273="","",IF(1&lt;=Parametry!$G$7,0,IF(COUNTIFS(Prognoza!$C$9:$C$38,C273)=1,IF(ISBLANK(INDEX(Prognoza!$K$9:$V$38,MATCH($C273,Prognoza!$C$9:$C$38,0),1)),"",IF(ISNUMBER(INDEX(Prognoza!$K$9:$V$38,MATCH($C273,Prognoza!$C$9:$C$38,0),1)),INDEX(Prognoza!$K$9:$V$38,MATCH($C273,Prognoza!$C$9:$C$38,0),1),"")),"")))</f>
        <v/>
      </c>
      <c r="J273" s="35" t="str">
        <f>IF(C273="","",IF(Plan!F31="Run",IF(ISNUMBER(INDEX(Parametry!$H$18:$S$18,1,1)),INDEX(Parametry!$H$18:$S$18,1,1),""),IF(ISNUMBER(INDEX(Parametry!$H$24:$S$24,1,1)),INDEX(Parametry!$H$24:$S$24,1,1),"")))</f>
        <v/>
      </c>
      <c r="K273" s="34" t="str">
        <f>IF(C273="","",IF(1&lt;=Parametry!$G$7,0,IF(AND(ISNUMBER(I273),ISNUMBER(J273),J273&gt;=-1),I273*(1+J273),"")))</f>
        <v/>
      </c>
      <c r="L273" s="34" t="str">
        <f>IF(C273="","",IF(1&lt;=Parametry!$G$7,G273,IF(ISNUMBER(K273),H273+K273,"")))</f>
        <v/>
      </c>
      <c r="M273" s="22" t="str">
        <f t="shared" si="8"/>
        <v/>
      </c>
      <c r="N273" s="7">
        <f t="shared" si="9"/>
        <v>0</v>
      </c>
      <c r="O273" s="7"/>
      <c r="P273" s="7"/>
    </row>
    <row r="274" spans="1:16" ht="24" customHeight="1">
      <c r="A274" s="7"/>
      <c r="B274" s="7"/>
      <c r="C274" s="13" t="str">
        <f>IF(Plan!C31="","",Plan!C31)</f>
        <v/>
      </c>
      <c r="D274" s="13" t="str">
        <f>IF(C274="","",Plan!D31)</f>
        <v/>
      </c>
      <c r="E274" s="33" t="str">
        <f>IF(OR(C274="",Parametry!$G$6=""),"",DATE(Parametry!$G$6,2,1))</f>
        <v/>
      </c>
      <c r="F274" s="34" t="str">
        <f>IF(C274="","",Plan!L31)</f>
        <v/>
      </c>
      <c r="G274" s="34" t="str">
        <f>IF(C274="","",SUMIFS(ERP!$I$9:$I$1008,ERP!$L$9:$L$1008,C274,ERP!$N$9:$N$1008,1,ERP!$M$9:$M$1008,2))</f>
        <v/>
      </c>
      <c r="H274" s="34" t="str">
        <f>IF(C274="","",IF(2&lt;=Parametry!$G$7,0,SUMIFS(Umowy!$N$9:$N$108,Umowy!$D$9:$D$108,C274,Umowy!$O$9:$O$108,2)))</f>
        <v/>
      </c>
      <c r="I274" s="34" t="str">
        <f>IF(C274="","",IF(2&lt;=Parametry!$G$7,0,IF(COUNTIFS(Prognoza!$C$9:$C$38,C274)=1,IF(ISBLANK(INDEX(Prognoza!$K$9:$V$38,MATCH($C274,Prognoza!$C$9:$C$38,0),2)),"",IF(ISNUMBER(INDEX(Prognoza!$K$9:$V$38,MATCH($C274,Prognoza!$C$9:$C$38,0),2)),INDEX(Prognoza!$K$9:$V$38,MATCH($C274,Prognoza!$C$9:$C$38,0),2),"")),"")))</f>
        <v/>
      </c>
      <c r="J274" s="35" t="str">
        <f>IF(C274="","",IF(Plan!F31="Run",IF(ISNUMBER(INDEX(Parametry!$H$18:$S$18,1,2)),INDEX(Parametry!$H$18:$S$18,1,2),""),IF(ISNUMBER(INDEX(Parametry!$H$24:$S$24,1,2)),INDEX(Parametry!$H$24:$S$24,1,2),"")))</f>
        <v/>
      </c>
      <c r="K274" s="34" t="str">
        <f>IF(C274="","",IF(2&lt;=Parametry!$G$7,0,IF(AND(ISNUMBER(I274),ISNUMBER(J274),J274&gt;=-1),I274*(1+J274),"")))</f>
        <v/>
      </c>
      <c r="L274" s="34" t="str">
        <f>IF(C274="","",IF(2&lt;=Parametry!$G$7,G274,IF(ISNUMBER(K274),H274+K274,"")))</f>
        <v/>
      </c>
      <c r="M274" s="22" t="str">
        <f t="shared" si="8"/>
        <v/>
      </c>
      <c r="N274" s="7">
        <f t="shared" si="9"/>
        <v>0</v>
      </c>
      <c r="O274" s="7"/>
      <c r="P274" s="7"/>
    </row>
    <row r="275" spans="1:16" ht="24" customHeight="1">
      <c r="A275" s="7"/>
      <c r="B275" s="7"/>
      <c r="C275" s="13" t="str">
        <f>IF(Plan!C31="","",Plan!C31)</f>
        <v/>
      </c>
      <c r="D275" s="13" t="str">
        <f>IF(C275="","",Plan!D31)</f>
        <v/>
      </c>
      <c r="E275" s="33" t="str">
        <f>IF(OR(C275="",Parametry!$G$6=""),"",DATE(Parametry!$G$6,3,1))</f>
        <v/>
      </c>
      <c r="F275" s="34" t="str">
        <f>IF(C275="","",Plan!M31)</f>
        <v/>
      </c>
      <c r="G275" s="34" t="str">
        <f>IF(C275="","",SUMIFS(ERP!$I$9:$I$1008,ERP!$L$9:$L$1008,C275,ERP!$N$9:$N$1008,1,ERP!$M$9:$M$1008,3))</f>
        <v/>
      </c>
      <c r="H275" s="34" t="str">
        <f>IF(C275="","",IF(3&lt;=Parametry!$G$7,0,SUMIFS(Umowy!$N$9:$N$108,Umowy!$D$9:$D$108,C275,Umowy!$O$9:$O$108,3)))</f>
        <v/>
      </c>
      <c r="I275" s="34" t="str">
        <f>IF(C275="","",IF(3&lt;=Parametry!$G$7,0,IF(COUNTIFS(Prognoza!$C$9:$C$38,C275)=1,IF(ISBLANK(INDEX(Prognoza!$K$9:$V$38,MATCH($C275,Prognoza!$C$9:$C$38,0),3)),"",IF(ISNUMBER(INDEX(Prognoza!$K$9:$V$38,MATCH($C275,Prognoza!$C$9:$C$38,0),3)),INDEX(Prognoza!$K$9:$V$38,MATCH($C275,Prognoza!$C$9:$C$38,0),3),"")),"")))</f>
        <v/>
      </c>
      <c r="J275" s="35" t="str">
        <f>IF(C275="","",IF(Plan!F31="Run",IF(ISNUMBER(INDEX(Parametry!$H$18:$S$18,1,3)),INDEX(Parametry!$H$18:$S$18,1,3),""),IF(ISNUMBER(INDEX(Parametry!$H$24:$S$24,1,3)),INDEX(Parametry!$H$24:$S$24,1,3),"")))</f>
        <v/>
      </c>
      <c r="K275" s="34" t="str">
        <f>IF(C275="","",IF(3&lt;=Parametry!$G$7,0,IF(AND(ISNUMBER(I275),ISNUMBER(J275),J275&gt;=-1),I275*(1+J275),"")))</f>
        <v/>
      </c>
      <c r="L275" s="34" t="str">
        <f>IF(C275="","",IF(3&lt;=Parametry!$G$7,G275,IF(ISNUMBER(K275),H275+K275,"")))</f>
        <v/>
      </c>
      <c r="M275" s="22" t="str">
        <f t="shared" si="8"/>
        <v/>
      </c>
      <c r="N275" s="7">
        <f t="shared" si="9"/>
        <v>0</v>
      </c>
      <c r="O275" s="7"/>
      <c r="P275" s="7"/>
    </row>
    <row r="276" spans="1:16" ht="24" customHeight="1">
      <c r="A276" s="7"/>
      <c r="B276" s="7"/>
      <c r="C276" s="13" t="str">
        <f>IF(Plan!C31="","",Plan!C31)</f>
        <v/>
      </c>
      <c r="D276" s="13" t="str">
        <f>IF(C276="","",Plan!D31)</f>
        <v/>
      </c>
      <c r="E276" s="33" t="str">
        <f>IF(OR(C276="",Parametry!$G$6=""),"",DATE(Parametry!$G$6,4,1))</f>
        <v/>
      </c>
      <c r="F276" s="34" t="str">
        <f>IF(C276="","",Plan!N31)</f>
        <v/>
      </c>
      <c r="G276" s="34" t="str">
        <f>IF(C276="","",SUMIFS(ERP!$I$9:$I$1008,ERP!$L$9:$L$1008,C276,ERP!$N$9:$N$1008,1,ERP!$M$9:$M$1008,4))</f>
        <v/>
      </c>
      <c r="H276" s="34" t="str">
        <f>IF(C276="","",IF(4&lt;=Parametry!$G$7,0,SUMIFS(Umowy!$N$9:$N$108,Umowy!$D$9:$D$108,C276,Umowy!$O$9:$O$108,4)))</f>
        <v/>
      </c>
      <c r="I276" s="34" t="str">
        <f>IF(C276="","",IF(4&lt;=Parametry!$G$7,0,IF(COUNTIFS(Prognoza!$C$9:$C$38,C276)=1,IF(ISBLANK(INDEX(Prognoza!$K$9:$V$38,MATCH($C276,Prognoza!$C$9:$C$38,0),4)),"",IF(ISNUMBER(INDEX(Prognoza!$K$9:$V$38,MATCH($C276,Prognoza!$C$9:$C$38,0),4)),INDEX(Prognoza!$K$9:$V$38,MATCH($C276,Prognoza!$C$9:$C$38,0),4),"")),"")))</f>
        <v/>
      </c>
      <c r="J276" s="35" t="str">
        <f>IF(C276="","",IF(Plan!F31="Run",IF(ISNUMBER(INDEX(Parametry!$H$18:$S$18,1,4)),INDEX(Parametry!$H$18:$S$18,1,4),""),IF(ISNUMBER(INDEX(Parametry!$H$24:$S$24,1,4)),INDEX(Parametry!$H$24:$S$24,1,4),"")))</f>
        <v/>
      </c>
      <c r="K276" s="34" t="str">
        <f>IF(C276="","",IF(4&lt;=Parametry!$G$7,0,IF(AND(ISNUMBER(I276),ISNUMBER(J276),J276&gt;=-1),I276*(1+J276),"")))</f>
        <v/>
      </c>
      <c r="L276" s="34" t="str">
        <f>IF(C276="","",IF(4&lt;=Parametry!$G$7,G276,IF(ISNUMBER(K276),H276+K276,"")))</f>
        <v/>
      </c>
      <c r="M276" s="22" t="str">
        <f t="shared" si="8"/>
        <v/>
      </c>
      <c r="N276" s="7">
        <f t="shared" si="9"/>
        <v>0</v>
      </c>
      <c r="O276" s="7"/>
      <c r="P276" s="7"/>
    </row>
    <row r="277" spans="1:16" ht="24" customHeight="1">
      <c r="A277" s="7"/>
      <c r="B277" s="7"/>
      <c r="C277" s="13" t="str">
        <f>IF(Plan!C31="","",Plan!C31)</f>
        <v/>
      </c>
      <c r="D277" s="13" t="str">
        <f>IF(C277="","",Plan!D31)</f>
        <v/>
      </c>
      <c r="E277" s="33" t="str">
        <f>IF(OR(C277="",Parametry!$G$6=""),"",DATE(Parametry!$G$6,5,1))</f>
        <v/>
      </c>
      <c r="F277" s="34" t="str">
        <f>IF(C277="","",Plan!O31)</f>
        <v/>
      </c>
      <c r="G277" s="34" t="str">
        <f>IF(C277="","",SUMIFS(ERP!$I$9:$I$1008,ERP!$L$9:$L$1008,C277,ERP!$N$9:$N$1008,1,ERP!$M$9:$M$1008,5))</f>
        <v/>
      </c>
      <c r="H277" s="34" t="str">
        <f>IF(C277="","",IF(5&lt;=Parametry!$G$7,0,SUMIFS(Umowy!$N$9:$N$108,Umowy!$D$9:$D$108,C277,Umowy!$O$9:$O$108,5)))</f>
        <v/>
      </c>
      <c r="I277" s="34" t="str">
        <f>IF(C277="","",IF(5&lt;=Parametry!$G$7,0,IF(COUNTIFS(Prognoza!$C$9:$C$38,C277)=1,IF(ISBLANK(INDEX(Prognoza!$K$9:$V$38,MATCH($C277,Prognoza!$C$9:$C$38,0),5)),"",IF(ISNUMBER(INDEX(Prognoza!$K$9:$V$38,MATCH($C277,Prognoza!$C$9:$C$38,0),5)),INDEX(Prognoza!$K$9:$V$38,MATCH($C277,Prognoza!$C$9:$C$38,0),5),"")),"")))</f>
        <v/>
      </c>
      <c r="J277" s="35" t="str">
        <f>IF(C277="","",IF(Plan!F31="Run",IF(ISNUMBER(INDEX(Parametry!$H$18:$S$18,1,5)),INDEX(Parametry!$H$18:$S$18,1,5),""),IF(ISNUMBER(INDEX(Parametry!$H$24:$S$24,1,5)),INDEX(Parametry!$H$24:$S$24,1,5),"")))</f>
        <v/>
      </c>
      <c r="K277" s="34" t="str">
        <f>IF(C277="","",IF(5&lt;=Parametry!$G$7,0,IF(AND(ISNUMBER(I277),ISNUMBER(J277),J277&gt;=-1),I277*(1+J277),"")))</f>
        <v/>
      </c>
      <c r="L277" s="34" t="str">
        <f>IF(C277="","",IF(5&lt;=Parametry!$G$7,G277,IF(ISNUMBER(K277),H277+K277,"")))</f>
        <v/>
      </c>
      <c r="M277" s="22" t="str">
        <f t="shared" si="8"/>
        <v/>
      </c>
      <c r="N277" s="7">
        <f t="shared" si="9"/>
        <v>0</v>
      </c>
      <c r="O277" s="7"/>
      <c r="P277" s="7"/>
    </row>
    <row r="278" spans="1:16" ht="24" customHeight="1">
      <c r="A278" s="7"/>
      <c r="B278" s="7"/>
      <c r="C278" s="13" t="str">
        <f>IF(Plan!C31="","",Plan!C31)</f>
        <v/>
      </c>
      <c r="D278" s="13" t="str">
        <f>IF(C278="","",Plan!D31)</f>
        <v/>
      </c>
      <c r="E278" s="33" t="str">
        <f>IF(OR(C278="",Parametry!$G$6=""),"",DATE(Parametry!$G$6,6,1))</f>
        <v/>
      </c>
      <c r="F278" s="34" t="str">
        <f>IF(C278="","",Plan!P31)</f>
        <v/>
      </c>
      <c r="G278" s="34" t="str">
        <f>IF(C278="","",SUMIFS(ERP!$I$9:$I$1008,ERP!$L$9:$L$1008,C278,ERP!$N$9:$N$1008,1,ERP!$M$9:$M$1008,6))</f>
        <v/>
      </c>
      <c r="H278" s="34" t="str">
        <f>IF(C278="","",IF(6&lt;=Parametry!$G$7,0,SUMIFS(Umowy!$N$9:$N$108,Umowy!$D$9:$D$108,C278,Umowy!$O$9:$O$108,6)))</f>
        <v/>
      </c>
      <c r="I278" s="34" t="str">
        <f>IF(C278="","",IF(6&lt;=Parametry!$G$7,0,IF(COUNTIFS(Prognoza!$C$9:$C$38,C278)=1,IF(ISBLANK(INDEX(Prognoza!$K$9:$V$38,MATCH($C278,Prognoza!$C$9:$C$38,0),6)),"",IF(ISNUMBER(INDEX(Prognoza!$K$9:$V$38,MATCH($C278,Prognoza!$C$9:$C$38,0),6)),INDEX(Prognoza!$K$9:$V$38,MATCH($C278,Prognoza!$C$9:$C$38,0),6),"")),"")))</f>
        <v/>
      </c>
      <c r="J278" s="35" t="str">
        <f>IF(C278="","",IF(Plan!F31="Run",IF(ISNUMBER(INDEX(Parametry!$H$18:$S$18,1,6)),INDEX(Parametry!$H$18:$S$18,1,6),""),IF(ISNUMBER(INDEX(Parametry!$H$24:$S$24,1,6)),INDEX(Parametry!$H$24:$S$24,1,6),"")))</f>
        <v/>
      </c>
      <c r="K278" s="34" t="str">
        <f>IF(C278="","",IF(6&lt;=Parametry!$G$7,0,IF(AND(ISNUMBER(I278),ISNUMBER(J278),J278&gt;=-1),I278*(1+J278),"")))</f>
        <v/>
      </c>
      <c r="L278" s="34" t="str">
        <f>IF(C278="","",IF(6&lt;=Parametry!$G$7,G278,IF(ISNUMBER(K278),H278+K278,"")))</f>
        <v/>
      </c>
      <c r="M278" s="22" t="str">
        <f t="shared" si="8"/>
        <v/>
      </c>
      <c r="N278" s="7">
        <f t="shared" si="9"/>
        <v>0</v>
      </c>
      <c r="O278" s="7"/>
      <c r="P278" s="7"/>
    </row>
    <row r="279" spans="1:16" ht="24" customHeight="1">
      <c r="A279" s="7"/>
      <c r="B279" s="7"/>
      <c r="C279" s="13" t="str">
        <f>IF(Plan!C31="","",Plan!C31)</f>
        <v/>
      </c>
      <c r="D279" s="13" t="str">
        <f>IF(C279="","",Plan!D31)</f>
        <v/>
      </c>
      <c r="E279" s="33" t="str">
        <f>IF(OR(C279="",Parametry!$G$6=""),"",DATE(Parametry!$G$6,7,1))</f>
        <v/>
      </c>
      <c r="F279" s="34" t="str">
        <f>IF(C279="","",Plan!Q31)</f>
        <v/>
      </c>
      <c r="G279" s="34" t="str">
        <f>IF(C279="","",SUMIFS(ERP!$I$9:$I$1008,ERP!$L$9:$L$1008,C279,ERP!$N$9:$N$1008,1,ERP!$M$9:$M$1008,7))</f>
        <v/>
      </c>
      <c r="H279" s="34" t="str">
        <f>IF(C279="","",IF(7&lt;=Parametry!$G$7,0,SUMIFS(Umowy!$N$9:$N$108,Umowy!$D$9:$D$108,C279,Umowy!$O$9:$O$108,7)))</f>
        <v/>
      </c>
      <c r="I279" s="34" t="str">
        <f>IF(C279="","",IF(7&lt;=Parametry!$G$7,0,IF(COUNTIFS(Prognoza!$C$9:$C$38,C279)=1,IF(ISBLANK(INDEX(Prognoza!$K$9:$V$38,MATCH($C279,Prognoza!$C$9:$C$38,0),7)),"",IF(ISNUMBER(INDEX(Prognoza!$K$9:$V$38,MATCH($C279,Prognoza!$C$9:$C$38,0),7)),INDEX(Prognoza!$K$9:$V$38,MATCH($C279,Prognoza!$C$9:$C$38,0),7),"")),"")))</f>
        <v/>
      </c>
      <c r="J279" s="35" t="str">
        <f>IF(C279="","",IF(Plan!F31="Run",IF(ISNUMBER(INDEX(Parametry!$H$18:$S$18,1,7)),INDEX(Parametry!$H$18:$S$18,1,7),""),IF(ISNUMBER(INDEX(Parametry!$H$24:$S$24,1,7)),INDEX(Parametry!$H$24:$S$24,1,7),"")))</f>
        <v/>
      </c>
      <c r="K279" s="34" t="str">
        <f>IF(C279="","",IF(7&lt;=Parametry!$G$7,0,IF(AND(ISNUMBER(I279),ISNUMBER(J279),J279&gt;=-1),I279*(1+J279),"")))</f>
        <v/>
      </c>
      <c r="L279" s="34" t="str">
        <f>IF(C279="","",IF(7&lt;=Parametry!$G$7,G279,IF(ISNUMBER(K279),H279+K279,"")))</f>
        <v/>
      </c>
      <c r="M279" s="22" t="str">
        <f t="shared" si="8"/>
        <v/>
      </c>
      <c r="N279" s="7">
        <f t="shared" si="9"/>
        <v>0</v>
      </c>
      <c r="O279" s="7"/>
      <c r="P279" s="7"/>
    </row>
    <row r="280" spans="1:16" ht="24" customHeight="1">
      <c r="A280" s="7"/>
      <c r="B280" s="7"/>
      <c r="C280" s="13" t="str">
        <f>IF(Plan!C31="","",Plan!C31)</f>
        <v/>
      </c>
      <c r="D280" s="13" t="str">
        <f>IF(C280="","",Plan!D31)</f>
        <v/>
      </c>
      <c r="E280" s="33" t="str">
        <f>IF(OR(C280="",Parametry!$G$6=""),"",DATE(Parametry!$G$6,8,1))</f>
        <v/>
      </c>
      <c r="F280" s="34" t="str">
        <f>IF(C280="","",Plan!R31)</f>
        <v/>
      </c>
      <c r="G280" s="34" t="str">
        <f>IF(C280="","",SUMIFS(ERP!$I$9:$I$1008,ERP!$L$9:$L$1008,C280,ERP!$N$9:$N$1008,1,ERP!$M$9:$M$1008,8))</f>
        <v/>
      </c>
      <c r="H280" s="34" t="str">
        <f>IF(C280="","",IF(8&lt;=Parametry!$G$7,0,SUMIFS(Umowy!$N$9:$N$108,Umowy!$D$9:$D$108,C280,Umowy!$O$9:$O$108,8)))</f>
        <v/>
      </c>
      <c r="I280" s="34" t="str">
        <f>IF(C280="","",IF(8&lt;=Parametry!$G$7,0,IF(COUNTIFS(Prognoza!$C$9:$C$38,C280)=1,IF(ISBLANK(INDEX(Prognoza!$K$9:$V$38,MATCH($C280,Prognoza!$C$9:$C$38,0),8)),"",IF(ISNUMBER(INDEX(Prognoza!$K$9:$V$38,MATCH($C280,Prognoza!$C$9:$C$38,0),8)),INDEX(Prognoza!$K$9:$V$38,MATCH($C280,Prognoza!$C$9:$C$38,0),8),"")),"")))</f>
        <v/>
      </c>
      <c r="J280" s="35" t="str">
        <f>IF(C280="","",IF(Plan!F31="Run",IF(ISNUMBER(INDEX(Parametry!$H$18:$S$18,1,8)),INDEX(Parametry!$H$18:$S$18,1,8),""),IF(ISNUMBER(INDEX(Parametry!$H$24:$S$24,1,8)),INDEX(Parametry!$H$24:$S$24,1,8),"")))</f>
        <v/>
      </c>
      <c r="K280" s="34" t="str">
        <f>IF(C280="","",IF(8&lt;=Parametry!$G$7,0,IF(AND(ISNUMBER(I280),ISNUMBER(J280),J280&gt;=-1),I280*(1+J280),"")))</f>
        <v/>
      </c>
      <c r="L280" s="34" t="str">
        <f>IF(C280="","",IF(8&lt;=Parametry!$G$7,G280,IF(ISNUMBER(K280),H280+K280,"")))</f>
        <v/>
      </c>
      <c r="M280" s="22" t="str">
        <f t="shared" si="8"/>
        <v/>
      </c>
      <c r="N280" s="7">
        <f t="shared" si="9"/>
        <v>0</v>
      </c>
      <c r="O280" s="7"/>
      <c r="P280" s="7"/>
    </row>
    <row r="281" spans="1:16" ht="24" customHeight="1">
      <c r="A281" s="7"/>
      <c r="B281" s="7"/>
      <c r="C281" s="13" t="str">
        <f>IF(Plan!C31="","",Plan!C31)</f>
        <v/>
      </c>
      <c r="D281" s="13" t="str">
        <f>IF(C281="","",Plan!D31)</f>
        <v/>
      </c>
      <c r="E281" s="33" t="str">
        <f>IF(OR(C281="",Parametry!$G$6=""),"",DATE(Parametry!$G$6,9,1))</f>
        <v/>
      </c>
      <c r="F281" s="34" t="str">
        <f>IF(C281="","",Plan!S31)</f>
        <v/>
      </c>
      <c r="G281" s="34" t="str">
        <f>IF(C281="","",SUMIFS(ERP!$I$9:$I$1008,ERP!$L$9:$L$1008,C281,ERP!$N$9:$N$1008,1,ERP!$M$9:$M$1008,9))</f>
        <v/>
      </c>
      <c r="H281" s="34" t="str">
        <f>IF(C281="","",IF(9&lt;=Parametry!$G$7,0,SUMIFS(Umowy!$N$9:$N$108,Umowy!$D$9:$D$108,C281,Umowy!$O$9:$O$108,9)))</f>
        <v/>
      </c>
      <c r="I281" s="34" t="str">
        <f>IF(C281="","",IF(9&lt;=Parametry!$G$7,0,IF(COUNTIFS(Prognoza!$C$9:$C$38,C281)=1,IF(ISBLANK(INDEX(Prognoza!$K$9:$V$38,MATCH($C281,Prognoza!$C$9:$C$38,0),9)),"",IF(ISNUMBER(INDEX(Prognoza!$K$9:$V$38,MATCH($C281,Prognoza!$C$9:$C$38,0),9)),INDEX(Prognoza!$K$9:$V$38,MATCH($C281,Prognoza!$C$9:$C$38,0),9),"")),"")))</f>
        <v/>
      </c>
      <c r="J281" s="35" t="str">
        <f>IF(C281="","",IF(Plan!F31="Run",IF(ISNUMBER(INDEX(Parametry!$H$18:$S$18,1,9)),INDEX(Parametry!$H$18:$S$18,1,9),""),IF(ISNUMBER(INDEX(Parametry!$H$24:$S$24,1,9)),INDEX(Parametry!$H$24:$S$24,1,9),"")))</f>
        <v/>
      </c>
      <c r="K281" s="34" t="str">
        <f>IF(C281="","",IF(9&lt;=Parametry!$G$7,0,IF(AND(ISNUMBER(I281),ISNUMBER(J281),J281&gt;=-1),I281*(1+J281),"")))</f>
        <v/>
      </c>
      <c r="L281" s="34" t="str">
        <f>IF(C281="","",IF(9&lt;=Parametry!$G$7,G281,IF(ISNUMBER(K281),H281+K281,"")))</f>
        <v/>
      </c>
      <c r="M281" s="22" t="str">
        <f t="shared" si="8"/>
        <v/>
      </c>
      <c r="N281" s="7">
        <f t="shared" si="9"/>
        <v>0</v>
      </c>
      <c r="O281" s="7"/>
      <c r="P281" s="7"/>
    </row>
    <row r="282" spans="1:16" ht="24" customHeight="1">
      <c r="A282" s="7"/>
      <c r="B282" s="7"/>
      <c r="C282" s="13" t="str">
        <f>IF(Plan!C31="","",Plan!C31)</f>
        <v/>
      </c>
      <c r="D282" s="13" t="str">
        <f>IF(C282="","",Plan!D31)</f>
        <v/>
      </c>
      <c r="E282" s="33" t="str">
        <f>IF(OR(C282="",Parametry!$G$6=""),"",DATE(Parametry!$G$6,10,1))</f>
        <v/>
      </c>
      <c r="F282" s="34" t="str">
        <f>IF(C282="","",Plan!T31)</f>
        <v/>
      </c>
      <c r="G282" s="34" t="str">
        <f>IF(C282="","",SUMIFS(ERP!$I$9:$I$1008,ERP!$L$9:$L$1008,C282,ERP!$N$9:$N$1008,1,ERP!$M$9:$M$1008,10))</f>
        <v/>
      </c>
      <c r="H282" s="34" t="str">
        <f>IF(C282="","",IF(10&lt;=Parametry!$G$7,0,SUMIFS(Umowy!$N$9:$N$108,Umowy!$D$9:$D$108,C282,Umowy!$O$9:$O$108,10)))</f>
        <v/>
      </c>
      <c r="I282" s="34" t="str">
        <f>IF(C282="","",IF(10&lt;=Parametry!$G$7,0,IF(COUNTIFS(Prognoza!$C$9:$C$38,C282)=1,IF(ISBLANK(INDEX(Prognoza!$K$9:$V$38,MATCH($C282,Prognoza!$C$9:$C$38,0),10)),"",IF(ISNUMBER(INDEX(Prognoza!$K$9:$V$38,MATCH($C282,Prognoza!$C$9:$C$38,0),10)),INDEX(Prognoza!$K$9:$V$38,MATCH($C282,Prognoza!$C$9:$C$38,0),10),"")),"")))</f>
        <v/>
      </c>
      <c r="J282" s="35" t="str">
        <f>IF(C282="","",IF(Plan!F31="Run",IF(ISNUMBER(INDEX(Parametry!$H$18:$S$18,1,10)),INDEX(Parametry!$H$18:$S$18,1,10),""),IF(ISNUMBER(INDEX(Parametry!$H$24:$S$24,1,10)),INDEX(Parametry!$H$24:$S$24,1,10),"")))</f>
        <v/>
      </c>
      <c r="K282" s="34" t="str">
        <f>IF(C282="","",IF(10&lt;=Parametry!$G$7,0,IF(AND(ISNUMBER(I282),ISNUMBER(J282),J282&gt;=-1),I282*(1+J282),"")))</f>
        <v/>
      </c>
      <c r="L282" s="34" t="str">
        <f>IF(C282="","",IF(10&lt;=Parametry!$G$7,G282,IF(ISNUMBER(K282),H282+K282,"")))</f>
        <v/>
      </c>
      <c r="M282" s="22" t="str">
        <f t="shared" si="8"/>
        <v/>
      </c>
      <c r="N282" s="7">
        <f t="shared" si="9"/>
        <v>0</v>
      </c>
      <c r="O282" s="7"/>
      <c r="P282" s="7"/>
    </row>
    <row r="283" spans="1:16" ht="24" customHeight="1">
      <c r="A283" s="7"/>
      <c r="B283" s="7"/>
      <c r="C283" s="13" t="str">
        <f>IF(Plan!C31="","",Plan!C31)</f>
        <v/>
      </c>
      <c r="D283" s="13" t="str">
        <f>IF(C283="","",Plan!D31)</f>
        <v/>
      </c>
      <c r="E283" s="33" t="str">
        <f>IF(OR(C283="",Parametry!$G$6=""),"",DATE(Parametry!$G$6,11,1))</f>
        <v/>
      </c>
      <c r="F283" s="34" t="str">
        <f>IF(C283="","",Plan!U31)</f>
        <v/>
      </c>
      <c r="G283" s="34" t="str">
        <f>IF(C283="","",SUMIFS(ERP!$I$9:$I$1008,ERP!$L$9:$L$1008,C283,ERP!$N$9:$N$1008,1,ERP!$M$9:$M$1008,11))</f>
        <v/>
      </c>
      <c r="H283" s="34" t="str">
        <f>IF(C283="","",IF(11&lt;=Parametry!$G$7,0,SUMIFS(Umowy!$N$9:$N$108,Umowy!$D$9:$D$108,C283,Umowy!$O$9:$O$108,11)))</f>
        <v/>
      </c>
      <c r="I283" s="34" t="str">
        <f>IF(C283="","",IF(11&lt;=Parametry!$G$7,0,IF(COUNTIFS(Prognoza!$C$9:$C$38,C283)=1,IF(ISBLANK(INDEX(Prognoza!$K$9:$V$38,MATCH($C283,Prognoza!$C$9:$C$38,0),11)),"",IF(ISNUMBER(INDEX(Prognoza!$K$9:$V$38,MATCH($C283,Prognoza!$C$9:$C$38,0),11)),INDEX(Prognoza!$K$9:$V$38,MATCH($C283,Prognoza!$C$9:$C$38,0),11),"")),"")))</f>
        <v/>
      </c>
      <c r="J283" s="35" t="str">
        <f>IF(C283="","",IF(Plan!F31="Run",IF(ISNUMBER(INDEX(Parametry!$H$18:$S$18,1,11)),INDEX(Parametry!$H$18:$S$18,1,11),""),IF(ISNUMBER(INDEX(Parametry!$H$24:$S$24,1,11)),INDEX(Parametry!$H$24:$S$24,1,11),"")))</f>
        <v/>
      </c>
      <c r="K283" s="34" t="str">
        <f>IF(C283="","",IF(11&lt;=Parametry!$G$7,0,IF(AND(ISNUMBER(I283),ISNUMBER(J283),J283&gt;=-1),I283*(1+J283),"")))</f>
        <v/>
      </c>
      <c r="L283" s="34" t="str">
        <f>IF(C283="","",IF(11&lt;=Parametry!$G$7,G283,IF(ISNUMBER(K283),H283+K283,"")))</f>
        <v/>
      </c>
      <c r="M283" s="22" t="str">
        <f t="shared" si="8"/>
        <v/>
      </c>
      <c r="N283" s="7">
        <f t="shared" si="9"/>
        <v>0</v>
      </c>
      <c r="O283" s="7"/>
      <c r="P283" s="7"/>
    </row>
    <row r="284" spans="1:16" ht="24" customHeight="1">
      <c r="A284" s="7"/>
      <c r="B284" s="7"/>
      <c r="C284" s="13" t="str">
        <f>IF(Plan!C31="","",Plan!C31)</f>
        <v/>
      </c>
      <c r="D284" s="13" t="str">
        <f>IF(C284="","",Plan!D31)</f>
        <v/>
      </c>
      <c r="E284" s="33" t="str">
        <f>IF(OR(C284="",Parametry!$G$6=""),"",DATE(Parametry!$G$6,12,1))</f>
        <v/>
      </c>
      <c r="F284" s="34" t="str">
        <f>IF(C284="","",Plan!V31)</f>
        <v/>
      </c>
      <c r="G284" s="34" t="str">
        <f>IF(C284="","",SUMIFS(ERP!$I$9:$I$1008,ERP!$L$9:$L$1008,C284,ERP!$N$9:$N$1008,1,ERP!$M$9:$M$1008,12))</f>
        <v/>
      </c>
      <c r="H284" s="34" t="str">
        <f>IF(C284="","",IF(12&lt;=Parametry!$G$7,0,SUMIFS(Umowy!$N$9:$N$108,Umowy!$D$9:$D$108,C284,Umowy!$O$9:$O$108,12)))</f>
        <v/>
      </c>
      <c r="I284" s="34" t="str">
        <f>IF(C284="","",IF(12&lt;=Parametry!$G$7,0,IF(COUNTIFS(Prognoza!$C$9:$C$38,C284)=1,IF(ISBLANK(INDEX(Prognoza!$K$9:$V$38,MATCH($C284,Prognoza!$C$9:$C$38,0),12)),"",IF(ISNUMBER(INDEX(Prognoza!$K$9:$V$38,MATCH($C284,Prognoza!$C$9:$C$38,0),12)),INDEX(Prognoza!$K$9:$V$38,MATCH($C284,Prognoza!$C$9:$C$38,0),12),"")),"")))</f>
        <v/>
      </c>
      <c r="J284" s="35" t="str">
        <f>IF(C284="","",IF(Plan!F31="Run",IF(ISNUMBER(INDEX(Parametry!$H$18:$S$18,1,12)),INDEX(Parametry!$H$18:$S$18,1,12),""),IF(ISNUMBER(INDEX(Parametry!$H$24:$S$24,1,12)),INDEX(Parametry!$H$24:$S$24,1,12),"")))</f>
        <v/>
      </c>
      <c r="K284" s="34" t="str">
        <f>IF(C284="","",IF(12&lt;=Parametry!$G$7,0,IF(AND(ISNUMBER(I284),ISNUMBER(J284),J284&gt;=-1),I284*(1+J284),"")))</f>
        <v/>
      </c>
      <c r="L284" s="34" t="str">
        <f>IF(C284="","",IF(12&lt;=Parametry!$G$7,G284,IF(ISNUMBER(K284),H284+K284,"")))</f>
        <v/>
      </c>
      <c r="M284" s="22" t="str">
        <f t="shared" si="8"/>
        <v/>
      </c>
      <c r="N284" s="7">
        <f t="shared" si="9"/>
        <v>0</v>
      </c>
      <c r="O284" s="7"/>
      <c r="P284" s="7"/>
    </row>
    <row r="285" spans="1:16" ht="24" customHeight="1">
      <c r="A285" s="7"/>
      <c r="B285" s="7"/>
      <c r="C285" s="13" t="str">
        <f>IF(Plan!C32="","",Plan!C32)</f>
        <v/>
      </c>
      <c r="D285" s="13" t="str">
        <f>IF(C285="","",Plan!D32)</f>
        <v/>
      </c>
      <c r="E285" s="33" t="str">
        <f>IF(OR(C285="",Parametry!$G$6=""),"",DATE(Parametry!$G$6,1,1))</f>
        <v/>
      </c>
      <c r="F285" s="34" t="str">
        <f>IF(C285="","",Plan!K32)</f>
        <v/>
      </c>
      <c r="G285" s="34" t="str">
        <f>IF(C285="","",SUMIFS(ERP!$I$9:$I$1008,ERP!$L$9:$L$1008,C285,ERP!$N$9:$N$1008,1,ERP!$M$9:$M$1008,1))</f>
        <v/>
      </c>
      <c r="H285" s="34" t="str">
        <f>IF(C285="","",IF(1&lt;=Parametry!$G$7,0,SUMIFS(Umowy!$N$9:$N$108,Umowy!$D$9:$D$108,C285,Umowy!$O$9:$O$108,1)))</f>
        <v/>
      </c>
      <c r="I285" s="34" t="str">
        <f>IF(C285="","",IF(1&lt;=Parametry!$G$7,0,IF(COUNTIFS(Prognoza!$C$9:$C$38,C285)=1,IF(ISBLANK(INDEX(Prognoza!$K$9:$V$38,MATCH($C285,Prognoza!$C$9:$C$38,0),1)),"",IF(ISNUMBER(INDEX(Prognoza!$K$9:$V$38,MATCH($C285,Prognoza!$C$9:$C$38,0),1)),INDEX(Prognoza!$K$9:$V$38,MATCH($C285,Prognoza!$C$9:$C$38,0),1),"")),"")))</f>
        <v/>
      </c>
      <c r="J285" s="35" t="str">
        <f>IF(C285="","",IF(Plan!F32="Run",IF(ISNUMBER(INDEX(Parametry!$H$18:$S$18,1,1)),INDEX(Parametry!$H$18:$S$18,1,1),""),IF(ISNUMBER(INDEX(Parametry!$H$24:$S$24,1,1)),INDEX(Parametry!$H$24:$S$24,1,1),"")))</f>
        <v/>
      </c>
      <c r="K285" s="34" t="str">
        <f>IF(C285="","",IF(1&lt;=Parametry!$G$7,0,IF(AND(ISNUMBER(I285),ISNUMBER(J285),J285&gt;=-1),I285*(1+J285),"")))</f>
        <v/>
      </c>
      <c r="L285" s="34" t="str">
        <f>IF(C285="","",IF(1&lt;=Parametry!$G$7,G285,IF(ISNUMBER(K285),H285+K285,"")))</f>
        <v/>
      </c>
      <c r="M285" s="22" t="str">
        <f t="shared" si="8"/>
        <v/>
      </c>
      <c r="N285" s="7">
        <f t="shared" si="9"/>
        <v>0</v>
      </c>
      <c r="O285" s="7"/>
      <c r="P285" s="7"/>
    </row>
    <row r="286" spans="1:16" ht="24" customHeight="1">
      <c r="A286" s="7"/>
      <c r="B286" s="7"/>
      <c r="C286" s="13" t="str">
        <f>IF(Plan!C32="","",Plan!C32)</f>
        <v/>
      </c>
      <c r="D286" s="13" t="str">
        <f>IF(C286="","",Plan!D32)</f>
        <v/>
      </c>
      <c r="E286" s="33" t="str">
        <f>IF(OR(C286="",Parametry!$G$6=""),"",DATE(Parametry!$G$6,2,1))</f>
        <v/>
      </c>
      <c r="F286" s="34" t="str">
        <f>IF(C286="","",Plan!L32)</f>
        <v/>
      </c>
      <c r="G286" s="34" t="str">
        <f>IF(C286="","",SUMIFS(ERP!$I$9:$I$1008,ERP!$L$9:$L$1008,C286,ERP!$N$9:$N$1008,1,ERP!$M$9:$M$1008,2))</f>
        <v/>
      </c>
      <c r="H286" s="34" t="str">
        <f>IF(C286="","",IF(2&lt;=Parametry!$G$7,0,SUMIFS(Umowy!$N$9:$N$108,Umowy!$D$9:$D$108,C286,Umowy!$O$9:$O$108,2)))</f>
        <v/>
      </c>
      <c r="I286" s="34" t="str">
        <f>IF(C286="","",IF(2&lt;=Parametry!$G$7,0,IF(COUNTIFS(Prognoza!$C$9:$C$38,C286)=1,IF(ISBLANK(INDEX(Prognoza!$K$9:$V$38,MATCH($C286,Prognoza!$C$9:$C$38,0),2)),"",IF(ISNUMBER(INDEX(Prognoza!$K$9:$V$38,MATCH($C286,Prognoza!$C$9:$C$38,0),2)),INDEX(Prognoza!$K$9:$V$38,MATCH($C286,Prognoza!$C$9:$C$38,0),2),"")),"")))</f>
        <v/>
      </c>
      <c r="J286" s="35" t="str">
        <f>IF(C286="","",IF(Plan!F32="Run",IF(ISNUMBER(INDEX(Parametry!$H$18:$S$18,1,2)),INDEX(Parametry!$H$18:$S$18,1,2),""),IF(ISNUMBER(INDEX(Parametry!$H$24:$S$24,1,2)),INDEX(Parametry!$H$24:$S$24,1,2),"")))</f>
        <v/>
      </c>
      <c r="K286" s="34" t="str">
        <f>IF(C286="","",IF(2&lt;=Parametry!$G$7,0,IF(AND(ISNUMBER(I286),ISNUMBER(J286),J286&gt;=-1),I286*(1+J286),"")))</f>
        <v/>
      </c>
      <c r="L286" s="34" t="str">
        <f>IF(C286="","",IF(2&lt;=Parametry!$G$7,G286,IF(ISNUMBER(K286),H286+K286,"")))</f>
        <v/>
      </c>
      <c r="M286" s="22" t="str">
        <f t="shared" si="8"/>
        <v/>
      </c>
      <c r="N286" s="7">
        <f t="shared" si="9"/>
        <v>0</v>
      </c>
      <c r="O286" s="7"/>
      <c r="P286" s="7"/>
    </row>
    <row r="287" spans="1:16" ht="24" customHeight="1">
      <c r="A287" s="7"/>
      <c r="B287" s="7"/>
      <c r="C287" s="13" t="str">
        <f>IF(Plan!C32="","",Plan!C32)</f>
        <v/>
      </c>
      <c r="D287" s="13" t="str">
        <f>IF(C287="","",Plan!D32)</f>
        <v/>
      </c>
      <c r="E287" s="33" t="str">
        <f>IF(OR(C287="",Parametry!$G$6=""),"",DATE(Parametry!$G$6,3,1))</f>
        <v/>
      </c>
      <c r="F287" s="34" t="str">
        <f>IF(C287="","",Plan!M32)</f>
        <v/>
      </c>
      <c r="G287" s="34" t="str">
        <f>IF(C287="","",SUMIFS(ERP!$I$9:$I$1008,ERP!$L$9:$L$1008,C287,ERP!$N$9:$N$1008,1,ERP!$M$9:$M$1008,3))</f>
        <v/>
      </c>
      <c r="H287" s="34" t="str">
        <f>IF(C287="","",IF(3&lt;=Parametry!$G$7,0,SUMIFS(Umowy!$N$9:$N$108,Umowy!$D$9:$D$108,C287,Umowy!$O$9:$O$108,3)))</f>
        <v/>
      </c>
      <c r="I287" s="34" t="str">
        <f>IF(C287="","",IF(3&lt;=Parametry!$G$7,0,IF(COUNTIFS(Prognoza!$C$9:$C$38,C287)=1,IF(ISBLANK(INDEX(Prognoza!$K$9:$V$38,MATCH($C287,Prognoza!$C$9:$C$38,0),3)),"",IF(ISNUMBER(INDEX(Prognoza!$K$9:$V$38,MATCH($C287,Prognoza!$C$9:$C$38,0),3)),INDEX(Prognoza!$K$9:$V$38,MATCH($C287,Prognoza!$C$9:$C$38,0),3),"")),"")))</f>
        <v/>
      </c>
      <c r="J287" s="35" t="str">
        <f>IF(C287="","",IF(Plan!F32="Run",IF(ISNUMBER(INDEX(Parametry!$H$18:$S$18,1,3)),INDEX(Parametry!$H$18:$S$18,1,3),""),IF(ISNUMBER(INDEX(Parametry!$H$24:$S$24,1,3)),INDEX(Parametry!$H$24:$S$24,1,3),"")))</f>
        <v/>
      </c>
      <c r="K287" s="34" t="str">
        <f>IF(C287="","",IF(3&lt;=Parametry!$G$7,0,IF(AND(ISNUMBER(I287),ISNUMBER(J287),J287&gt;=-1),I287*(1+J287),"")))</f>
        <v/>
      </c>
      <c r="L287" s="34" t="str">
        <f>IF(C287="","",IF(3&lt;=Parametry!$G$7,G287,IF(ISNUMBER(K287),H287+K287,"")))</f>
        <v/>
      </c>
      <c r="M287" s="22" t="str">
        <f t="shared" si="8"/>
        <v/>
      </c>
      <c r="N287" s="7">
        <f t="shared" si="9"/>
        <v>0</v>
      </c>
      <c r="O287" s="7"/>
      <c r="P287" s="7"/>
    </row>
    <row r="288" spans="1:16" ht="24" customHeight="1">
      <c r="A288" s="7"/>
      <c r="B288" s="7"/>
      <c r="C288" s="13" t="str">
        <f>IF(Plan!C32="","",Plan!C32)</f>
        <v/>
      </c>
      <c r="D288" s="13" t="str">
        <f>IF(C288="","",Plan!D32)</f>
        <v/>
      </c>
      <c r="E288" s="33" t="str">
        <f>IF(OR(C288="",Parametry!$G$6=""),"",DATE(Parametry!$G$6,4,1))</f>
        <v/>
      </c>
      <c r="F288" s="34" t="str">
        <f>IF(C288="","",Plan!N32)</f>
        <v/>
      </c>
      <c r="G288" s="34" t="str">
        <f>IF(C288="","",SUMIFS(ERP!$I$9:$I$1008,ERP!$L$9:$L$1008,C288,ERP!$N$9:$N$1008,1,ERP!$M$9:$M$1008,4))</f>
        <v/>
      </c>
      <c r="H288" s="34" t="str">
        <f>IF(C288="","",IF(4&lt;=Parametry!$G$7,0,SUMIFS(Umowy!$N$9:$N$108,Umowy!$D$9:$D$108,C288,Umowy!$O$9:$O$108,4)))</f>
        <v/>
      </c>
      <c r="I288" s="34" t="str">
        <f>IF(C288="","",IF(4&lt;=Parametry!$G$7,0,IF(COUNTIFS(Prognoza!$C$9:$C$38,C288)=1,IF(ISBLANK(INDEX(Prognoza!$K$9:$V$38,MATCH($C288,Prognoza!$C$9:$C$38,0),4)),"",IF(ISNUMBER(INDEX(Prognoza!$K$9:$V$38,MATCH($C288,Prognoza!$C$9:$C$38,0),4)),INDEX(Prognoza!$K$9:$V$38,MATCH($C288,Prognoza!$C$9:$C$38,0),4),"")),"")))</f>
        <v/>
      </c>
      <c r="J288" s="35" t="str">
        <f>IF(C288="","",IF(Plan!F32="Run",IF(ISNUMBER(INDEX(Parametry!$H$18:$S$18,1,4)),INDEX(Parametry!$H$18:$S$18,1,4),""),IF(ISNUMBER(INDEX(Parametry!$H$24:$S$24,1,4)),INDEX(Parametry!$H$24:$S$24,1,4),"")))</f>
        <v/>
      </c>
      <c r="K288" s="34" t="str">
        <f>IF(C288="","",IF(4&lt;=Parametry!$G$7,0,IF(AND(ISNUMBER(I288),ISNUMBER(J288),J288&gt;=-1),I288*(1+J288),"")))</f>
        <v/>
      </c>
      <c r="L288" s="34" t="str">
        <f>IF(C288="","",IF(4&lt;=Parametry!$G$7,G288,IF(ISNUMBER(K288),H288+K288,"")))</f>
        <v/>
      </c>
      <c r="M288" s="22" t="str">
        <f t="shared" si="8"/>
        <v/>
      </c>
      <c r="N288" s="7">
        <f t="shared" si="9"/>
        <v>0</v>
      </c>
      <c r="O288" s="7"/>
      <c r="P288" s="7"/>
    </row>
    <row r="289" spans="1:16" ht="24" customHeight="1">
      <c r="A289" s="7"/>
      <c r="B289" s="7"/>
      <c r="C289" s="13" t="str">
        <f>IF(Plan!C32="","",Plan!C32)</f>
        <v/>
      </c>
      <c r="D289" s="13" t="str">
        <f>IF(C289="","",Plan!D32)</f>
        <v/>
      </c>
      <c r="E289" s="33" t="str">
        <f>IF(OR(C289="",Parametry!$G$6=""),"",DATE(Parametry!$G$6,5,1))</f>
        <v/>
      </c>
      <c r="F289" s="34" t="str">
        <f>IF(C289="","",Plan!O32)</f>
        <v/>
      </c>
      <c r="G289" s="34" t="str">
        <f>IF(C289="","",SUMIFS(ERP!$I$9:$I$1008,ERP!$L$9:$L$1008,C289,ERP!$N$9:$N$1008,1,ERP!$M$9:$M$1008,5))</f>
        <v/>
      </c>
      <c r="H289" s="34" t="str">
        <f>IF(C289="","",IF(5&lt;=Parametry!$G$7,0,SUMIFS(Umowy!$N$9:$N$108,Umowy!$D$9:$D$108,C289,Umowy!$O$9:$O$108,5)))</f>
        <v/>
      </c>
      <c r="I289" s="34" t="str">
        <f>IF(C289="","",IF(5&lt;=Parametry!$G$7,0,IF(COUNTIFS(Prognoza!$C$9:$C$38,C289)=1,IF(ISBLANK(INDEX(Prognoza!$K$9:$V$38,MATCH($C289,Prognoza!$C$9:$C$38,0),5)),"",IF(ISNUMBER(INDEX(Prognoza!$K$9:$V$38,MATCH($C289,Prognoza!$C$9:$C$38,0),5)),INDEX(Prognoza!$K$9:$V$38,MATCH($C289,Prognoza!$C$9:$C$38,0),5),"")),"")))</f>
        <v/>
      </c>
      <c r="J289" s="35" t="str">
        <f>IF(C289="","",IF(Plan!F32="Run",IF(ISNUMBER(INDEX(Parametry!$H$18:$S$18,1,5)),INDEX(Parametry!$H$18:$S$18,1,5),""),IF(ISNUMBER(INDEX(Parametry!$H$24:$S$24,1,5)),INDEX(Parametry!$H$24:$S$24,1,5),"")))</f>
        <v/>
      </c>
      <c r="K289" s="34" t="str">
        <f>IF(C289="","",IF(5&lt;=Parametry!$G$7,0,IF(AND(ISNUMBER(I289),ISNUMBER(J289),J289&gt;=-1),I289*(1+J289),"")))</f>
        <v/>
      </c>
      <c r="L289" s="34" t="str">
        <f>IF(C289="","",IF(5&lt;=Parametry!$G$7,G289,IF(ISNUMBER(K289),H289+K289,"")))</f>
        <v/>
      </c>
      <c r="M289" s="22" t="str">
        <f t="shared" si="8"/>
        <v/>
      </c>
      <c r="N289" s="7">
        <f t="shared" si="9"/>
        <v>0</v>
      </c>
      <c r="O289" s="7"/>
      <c r="P289" s="7"/>
    </row>
    <row r="290" spans="1:16" ht="24" customHeight="1">
      <c r="A290" s="7"/>
      <c r="B290" s="7"/>
      <c r="C290" s="13" t="str">
        <f>IF(Plan!C32="","",Plan!C32)</f>
        <v/>
      </c>
      <c r="D290" s="13" t="str">
        <f>IF(C290="","",Plan!D32)</f>
        <v/>
      </c>
      <c r="E290" s="33" t="str">
        <f>IF(OR(C290="",Parametry!$G$6=""),"",DATE(Parametry!$G$6,6,1))</f>
        <v/>
      </c>
      <c r="F290" s="34" t="str">
        <f>IF(C290="","",Plan!P32)</f>
        <v/>
      </c>
      <c r="G290" s="34" t="str">
        <f>IF(C290="","",SUMIFS(ERP!$I$9:$I$1008,ERP!$L$9:$L$1008,C290,ERP!$N$9:$N$1008,1,ERP!$M$9:$M$1008,6))</f>
        <v/>
      </c>
      <c r="H290" s="34" t="str">
        <f>IF(C290="","",IF(6&lt;=Parametry!$G$7,0,SUMIFS(Umowy!$N$9:$N$108,Umowy!$D$9:$D$108,C290,Umowy!$O$9:$O$108,6)))</f>
        <v/>
      </c>
      <c r="I290" s="34" t="str">
        <f>IF(C290="","",IF(6&lt;=Parametry!$G$7,0,IF(COUNTIFS(Prognoza!$C$9:$C$38,C290)=1,IF(ISBLANK(INDEX(Prognoza!$K$9:$V$38,MATCH($C290,Prognoza!$C$9:$C$38,0),6)),"",IF(ISNUMBER(INDEX(Prognoza!$K$9:$V$38,MATCH($C290,Prognoza!$C$9:$C$38,0),6)),INDEX(Prognoza!$K$9:$V$38,MATCH($C290,Prognoza!$C$9:$C$38,0),6),"")),"")))</f>
        <v/>
      </c>
      <c r="J290" s="35" t="str">
        <f>IF(C290="","",IF(Plan!F32="Run",IF(ISNUMBER(INDEX(Parametry!$H$18:$S$18,1,6)),INDEX(Parametry!$H$18:$S$18,1,6),""),IF(ISNUMBER(INDEX(Parametry!$H$24:$S$24,1,6)),INDEX(Parametry!$H$24:$S$24,1,6),"")))</f>
        <v/>
      </c>
      <c r="K290" s="34" t="str">
        <f>IF(C290="","",IF(6&lt;=Parametry!$G$7,0,IF(AND(ISNUMBER(I290),ISNUMBER(J290),J290&gt;=-1),I290*(1+J290),"")))</f>
        <v/>
      </c>
      <c r="L290" s="34" t="str">
        <f>IF(C290="","",IF(6&lt;=Parametry!$G$7,G290,IF(ISNUMBER(K290),H290+K290,"")))</f>
        <v/>
      </c>
      <c r="M290" s="22" t="str">
        <f t="shared" si="8"/>
        <v/>
      </c>
      <c r="N290" s="7">
        <f t="shared" si="9"/>
        <v>0</v>
      </c>
      <c r="O290" s="7"/>
      <c r="P290" s="7"/>
    </row>
    <row r="291" spans="1:16" ht="24" customHeight="1">
      <c r="A291" s="7"/>
      <c r="B291" s="7"/>
      <c r="C291" s="13" t="str">
        <f>IF(Plan!C32="","",Plan!C32)</f>
        <v/>
      </c>
      <c r="D291" s="13" t="str">
        <f>IF(C291="","",Plan!D32)</f>
        <v/>
      </c>
      <c r="E291" s="33" t="str">
        <f>IF(OR(C291="",Parametry!$G$6=""),"",DATE(Parametry!$G$6,7,1))</f>
        <v/>
      </c>
      <c r="F291" s="34" t="str">
        <f>IF(C291="","",Plan!Q32)</f>
        <v/>
      </c>
      <c r="G291" s="34" t="str">
        <f>IF(C291="","",SUMIFS(ERP!$I$9:$I$1008,ERP!$L$9:$L$1008,C291,ERP!$N$9:$N$1008,1,ERP!$M$9:$M$1008,7))</f>
        <v/>
      </c>
      <c r="H291" s="34" t="str">
        <f>IF(C291="","",IF(7&lt;=Parametry!$G$7,0,SUMIFS(Umowy!$N$9:$N$108,Umowy!$D$9:$D$108,C291,Umowy!$O$9:$O$108,7)))</f>
        <v/>
      </c>
      <c r="I291" s="34" t="str">
        <f>IF(C291="","",IF(7&lt;=Parametry!$G$7,0,IF(COUNTIFS(Prognoza!$C$9:$C$38,C291)=1,IF(ISBLANK(INDEX(Prognoza!$K$9:$V$38,MATCH($C291,Prognoza!$C$9:$C$38,0),7)),"",IF(ISNUMBER(INDEX(Prognoza!$K$9:$V$38,MATCH($C291,Prognoza!$C$9:$C$38,0),7)),INDEX(Prognoza!$K$9:$V$38,MATCH($C291,Prognoza!$C$9:$C$38,0),7),"")),"")))</f>
        <v/>
      </c>
      <c r="J291" s="35" t="str">
        <f>IF(C291="","",IF(Plan!F32="Run",IF(ISNUMBER(INDEX(Parametry!$H$18:$S$18,1,7)),INDEX(Parametry!$H$18:$S$18,1,7),""),IF(ISNUMBER(INDEX(Parametry!$H$24:$S$24,1,7)),INDEX(Parametry!$H$24:$S$24,1,7),"")))</f>
        <v/>
      </c>
      <c r="K291" s="34" t="str">
        <f>IF(C291="","",IF(7&lt;=Parametry!$G$7,0,IF(AND(ISNUMBER(I291),ISNUMBER(J291),J291&gt;=-1),I291*(1+J291),"")))</f>
        <v/>
      </c>
      <c r="L291" s="34" t="str">
        <f>IF(C291="","",IF(7&lt;=Parametry!$G$7,G291,IF(ISNUMBER(K291),H291+K291,"")))</f>
        <v/>
      </c>
      <c r="M291" s="22" t="str">
        <f t="shared" si="8"/>
        <v/>
      </c>
      <c r="N291" s="7">
        <f t="shared" si="9"/>
        <v>0</v>
      </c>
      <c r="O291" s="7"/>
      <c r="P291" s="7"/>
    </row>
    <row r="292" spans="1:16" ht="24" customHeight="1">
      <c r="A292" s="7"/>
      <c r="B292" s="7"/>
      <c r="C292" s="13" t="str">
        <f>IF(Plan!C32="","",Plan!C32)</f>
        <v/>
      </c>
      <c r="D292" s="13" t="str">
        <f>IF(C292="","",Plan!D32)</f>
        <v/>
      </c>
      <c r="E292" s="33" t="str">
        <f>IF(OR(C292="",Parametry!$G$6=""),"",DATE(Parametry!$G$6,8,1))</f>
        <v/>
      </c>
      <c r="F292" s="34" t="str">
        <f>IF(C292="","",Plan!R32)</f>
        <v/>
      </c>
      <c r="G292" s="34" t="str">
        <f>IF(C292="","",SUMIFS(ERP!$I$9:$I$1008,ERP!$L$9:$L$1008,C292,ERP!$N$9:$N$1008,1,ERP!$M$9:$M$1008,8))</f>
        <v/>
      </c>
      <c r="H292" s="34" t="str">
        <f>IF(C292="","",IF(8&lt;=Parametry!$G$7,0,SUMIFS(Umowy!$N$9:$N$108,Umowy!$D$9:$D$108,C292,Umowy!$O$9:$O$108,8)))</f>
        <v/>
      </c>
      <c r="I292" s="34" t="str">
        <f>IF(C292="","",IF(8&lt;=Parametry!$G$7,0,IF(COUNTIFS(Prognoza!$C$9:$C$38,C292)=1,IF(ISBLANK(INDEX(Prognoza!$K$9:$V$38,MATCH($C292,Prognoza!$C$9:$C$38,0),8)),"",IF(ISNUMBER(INDEX(Prognoza!$K$9:$V$38,MATCH($C292,Prognoza!$C$9:$C$38,0),8)),INDEX(Prognoza!$K$9:$V$38,MATCH($C292,Prognoza!$C$9:$C$38,0),8),"")),"")))</f>
        <v/>
      </c>
      <c r="J292" s="35" t="str">
        <f>IF(C292="","",IF(Plan!F32="Run",IF(ISNUMBER(INDEX(Parametry!$H$18:$S$18,1,8)),INDEX(Parametry!$H$18:$S$18,1,8),""),IF(ISNUMBER(INDEX(Parametry!$H$24:$S$24,1,8)),INDEX(Parametry!$H$24:$S$24,1,8),"")))</f>
        <v/>
      </c>
      <c r="K292" s="34" t="str">
        <f>IF(C292="","",IF(8&lt;=Parametry!$G$7,0,IF(AND(ISNUMBER(I292),ISNUMBER(J292),J292&gt;=-1),I292*(1+J292),"")))</f>
        <v/>
      </c>
      <c r="L292" s="34" t="str">
        <f>IF(C292="","",IF(8&lt;=Parametry!$G$7,G292,IF(ISNUMBER(K292),H292+K292,"")))</f>
        <v/>
      </c>
      <c r="M292" s="22" t="str">
        <f t="shared" si="8"/>
        <v/>
      </c>
      <c r="N292" s="7">
        <f t="shared" si="9"/>
        <v>0</v>
      </c>
      <c r="O292" s="7"/>
      <c r="P292" s="7"/>
    </row>
    <row r="293" spans="1:16" ht="24" customHeight="1">
      <c r="A293" s="7"/>
      <c r="B293" s="7"/>
      <c r="C293" s="13" t="str">
        <f>IF(Plan!C32="","",Plan!C32)</f>
        <v/>
      </c>
      <c r="D293" s="13" t="str">
        <f>IF(C293="","",Plan!D32)</f>
        <v/>
      </c>
      <c r="E293" s="33" t="str">
        <f>IF(OR(C293="",Parametry!$G$6=""),"",DATE(Parametry!$G$6,9,1))</f>
        <v/>
      </c>
      <c r="F293" s="34" t="str">
        <f>IF(C293="","",Plan!S32)</f>
        <v/>
      </c>
      <c r="G293" s="34" t="str">
        <f>IF(C293="","",SUMIFS(ERP!$I$9:$I$1008,ERP!$L$9:$L$1008,C293,ERP!$N$9:$N$1008,1,ERP!$M$9:$M$1008,9))</f>
        <v/>
      </c>
      <c r="H293" s="34" t="str">
        <f>IF(C293="","",IF(9&lt;=Parametry!$G$7,0,SUMIFS(Umowy!$N$9:$N$108,Umowy!$D$9:$D$108,C293,Umowy!$O$9:$O$108,9)))</f>
        <v/>
      </c>
      <c r="I293" s="34" t="str">
        <f>IF(C293="","",IF(9&lt;=Parametry!$G$7,0,IF(COUNTIFS(Prognoza!$C$9:$C$38,C293)=1,IF(ISBLANK(INDEX(Prognoza!$K$9:$V$38,MATCH($C293,Prognoza!$C$9:$C$38,0),9)),"",IF(ISNUMBER(INDEX(Prognoza!$K$9:$V$38,MATCH($C293,Prognoza!$C$9:$C$38,0),9)),INDEX(Prognoza!$K$9:$V$38,MATCH($C293,Prognoza!$C$9:$C$38,0),9),"")),"")))</f>
        <v/>
      </c>
      <c r="J293" s="35" t="str">
        <f>IF(C293="","",IF(Plan!F32="Run",IF(ISNUMBER(INDEX(Parametry!$H$18:$S$18,1,9)),INDEX(Parametry!$H$18:$S$18,1,9),""),IF(ISNUMBER(INDEX(Parametry!$H$24:$S$24,1,9)),INDEX(Parametry!$H$24:$S$24,1,9),"")))</f>
        <v/>
      </c>
      <c r="K293" s="34" t="str">
        <f>IF(C293="","",IF(9&lt;=Parametry!$G$7,0,IF(AND(ISNUMBER(I293),ISNUMBER(J293),J293&gt;=-1),I293*(1+J293),"")))</f>
        <v/>
      </c>
      <c r="L293" s="34" t="str">
        <f>IF(C293="","",IF(9&lt;=Parametry!$G$7,G293,IF(ISNUMBER(K293),H293+K293,"")))</f>
        <v/>
      </c>
      <c r="M293" s="22" t="str">
        <f t="shared" si="8"/>
        <v/>
      </c>
      <c r="N293" s="7">
        <f t="shared" si="9"/>
        <v>0</v>
      </c>
      <c r="O293" s="7"/>
      <c r="P293" s="7"/>
    </row>
    <row r="294" spans="1:16" ht="24" customHeight="1">
      <c r="A294" s="7"/>
      <c r="B294" s="7"/>
      <c r="C294" s="13" t="str">
        <f>IF(Plan!C32="","",Plan!C32)</f>
        <v/>
      </c>
      <c r="D294" s="13" t="str">
        <f>IF(C294="","",Plan!D32)</f>
        <v/>
      </c>
      <c r="E294" s="33" t="str">
        <f>IF(OR(C294="",Parametry!$G$6=""),"",DATE(Parametry!$G$6,10,1))</f>
        <v/>
      </c>
      <c r="F294" s="34" t="str">
        <f>IF(C294="","",Plan!T32)</f>
        <v/>
      </c>
      <c r="G294" s="34" t="str">
        <f>IF(C294="","",SUMIFS(ERP!$I$9:$I$1008,ERP!$L$9:$L$1008,C294,ERP!$N$9:$N$1008,1,ERP!$M$9:$M$1008,10))</f>
        <v/>
      </c>
      <c r="H294" s="34" t="str">
        <f>IF(C294="","",IF(10&lt;=Parametry!$G$7,0,SUMIFS(Umowy!$N$9:$N$108,Umowy!$D$9:$D$108,C294,Umowy!$O$9:$O$108,10)))</f>
        <v/>
      </c>
      <c r="I294" s="34" t="str">
        <f>IF(C294="","",IF(10&lt;=Parametry!$G$7,0,IF(COUNTIFS(Prognoza!$C$9:$C$38,C294)=1,IF(ISBLANK(INDEX(Prognoza!$K$9:$V$38,MATCH($C294,Prognoza!$C$9:$C$38,0),10)),"",IF(ISNUMBER(INDEX(Prognoza!$K$9:$V$38,MATCH($C294,Prognoza!$C$9:$C$38,0),10)),INDEX(Prognoza!$K$9:$V$38,MATCH($C294,Prognoza!$C$9:$C$38,0),10),"")),"")))</f>
        <v/>
      </c>
      <c r="J294" s="35" t="str">
        <f>IF(C294="","",IF(Plan!F32="Run",IF(ISNUMBER(INDEX(Parametry!$H$18:$S$18,1,10)),INDEX(Parametry!$H$18:$S$18,1,10),""),IF(ISNUMBER(INDEX(Parametry!$H$24:$S$24,1,10)),INDEX(Parametry!$H$24:$S$24,1,10),"")))</f>
        <v/>
      </c>
      <c r="K294" s="34" t="str">
        <f>IF(C294="","",IF(10&lt;=Parametry!$G$7,0,IF(AND(ISNUMBER(I294),ISNUMBER(J294),J294&gt;=-1),I294*(1+J294),"")))</f>
        <v/>
      </c>
      <c r="L294" s="34" t="str">
        <f>IF(C294="","",IF(10&lt;=Parametry!$G$7,G294,IF(ISNUMBER(K294),H294+K294,"")))</f>
        <v/>
      </c>
      <c r="M294" s="22" t="str">
        <f t="shared" si="8"/>
        <v/>
      </c>
      <c r="N294" s="7">
        <f t="shared" si="9"/>
        <v>0</v>
      </c>
      <c r="O294" s="7"/>
      <c r="P294" s="7"/>
    </row>
    <row r="295" spans="1:16" ht="24" customHeight="1">
      <c r="A295" s="7"/>
      <c r="B295" s="7"/>
      <c r="C295" s="13" t="str">
        <f>IF(Plan!C32="","",Plan!C32)</f>
        <v/>
      </c>
      <c r="D295" s="13" t="str">
        <f>IF(C295="","",Plan!D32)</f>
        <v/>
      </c>
      <c r="E295" s="33" t="str">
        <f>IF(OR(C295="",Parametry!$G$6=""),"",DATE(Parametry!$G$6,11,1))</f>
        <v/>
      </c>
      <c r="F295" s="34" t="str">
        <f>IF(C295="","",Plan!U32)</f>
        <v/>
      </c>
      <c r="G295" s="34" t="str">
        <f>IF(C295="","",SUMIFS(ERP!$I$9:$I$1008,ERP!$L$9:$L$1008,C295,ERP!$N$9:$N$1008,1,ERP!$M$9:$M$1008,11))</f>
        <v/>
      </c>
      <c r="H295" s="34" t="str">
        <f>IF(C295="","",IF(11&lt;=Parametry!$G$7,0,SUMIFS(Umowy!$N$9:$N$108,Umowy!$D$9:$D$108,C295,Umowy!$O$9:$O$108,11)))</f>
        <v/>
      </c>
      <c r="I295" s="34" t="str">
        <f>IF(C295="","",IF(11&lt;=Parametry!$G$7,0,IF(COUNTIFS(Prognoza!$C$9:$C$38,C295)=1,IF(ISBLANK(INDEX(Prognoza!$K$9:$V$38,MATCH($C295,Prognoza!$C$9:$C$38,0),11)),"",IF(ISNUMBER(INDEX(Prognoza!$K$9:$V$38,MATCH($C295,Prognoza!$C$9:$C$38,0),11)),INDEX(Prognoza!$K$9:$V$38,MATCH($C295,Prognoza!$C$9:$C$38,0),11),"")),"")))</f>
        <v/>
      </c>
      <c r="J295" s="35" t="str">
        <f>IF(C295="","",IF(Plan!F32="Run",IF(ISNUMBER(INDEX(Parametry!$H$18:$S$18,1,11)),INDEX(Parametry!$H$18:$S$18,1,11),""),IF(ISNUMBER(INDEX(Parametry!$H$24:$S$24,1,11)),INDEX(Parametry!$H$24:$S$24,1,11),"")))</f>
        <v/>
      </c>
      <c r="K295" s="34" t="str">
        <f>IF(C295="","",IF(11&lt;=Parametry!$G$7,0,IF(AND(ISNUMBER(I295),ISNUMBER(J295),J295&gt;=-1),I295*(1+J295),"")))</f>
        <v/>
      </c>
      <c r="L295" s="34" t="str">
        <f>IF(C295="","",IF(11&lt;=Parametry!$G$7,G295,IF(ISNUMBER(K295),H295+K295,"")))</f>
        <v/>
      </c>
      <c r="M295" s="22" t="str">
        <f t="shared" si="8"/>
        <v/>
      </c>
      <c r="N295" s="7">
        <f t="shared" si="9"/>
        <v>0</v>
      </c>
      <c r="O295" s="7"/>
      <c r="P295" s="7"/>
    </row>
    <row r="296" spans="1:16" ht="24" customHeight="1">
      <c r="A296" s="7"/>
      <c r="B296" s="7"/>
      <c r="C296" s="13" t="str">
        <f>IF(Plan!C32="","",Plan!C32)</f>
        <v/>
      </c>
      <c r="D296" s="13" t="str">
        <f>IF(C296="","",Plan!D32)</f>
        <v/>
      </c>
      <c r="E296" s="33" t="str">
        <f>IF(OR(C296="",Parametry!$G$6=""),"",DATE(Parametry!$G$6,12,1))</f>
        <v/>
      </c>
      <c r="F296" s="34" t="str">
        <f>IF(C296="","",Plan!V32)</f>
        <v/>
      </c>
      <c r="G296" s="34" t="str">
        <f>IF(C296="","",SUMIFS(ERP!$I$9:$I$1008,ERP!$L$9:$L$1008,C296,ERP!$N$9:$N$1008,1,ERP!$M$9:$M$1008,12))</f>
        <v/>
      </c>
      <c r="H296" s="34" t="str">
        <f>IF(C296="","",IF(12&lt;=Parametry!$G$7,0,SUMIFS(Umowy!$N$9:$N$108,Umowy!$D$9:$D$108,C296,Umowy!$O$9:$O$108,12)))</f>
        <v/>
      </c>
      <c r="I296" s="34" t="str">
        <f>IF(C296="","",IF(12&lt;=Parametry!$G$7,0,IF(COUNTIFS(Prognoza!$C$9:$C$38,C296)=1,IF(ISBLANK(INDEX(Prognoza!$K$9:$V$38,MATCH($C296,Prognoza!$C$9:$C$38,0),12)),"",IF(ISNUMBER(INDEX(Prognoza!$K$9:$V$38,MATCH($C296,Prognoza!$C$9:$C$38,0),12)),INDEX(Prognoza!$K$9:$V$38,MATCH($C296,Prognoza!$C$9:$C$38,0),12),"")),"")))</f>
        <v/>
      </c>
      <c r="J296" s="35" t="str">
        <f>IF(C296="","",IF(Plan!F32="Run",IF(ISNUMBER(INDEX(Parametry!$H$18:$S$18,1,12)),INDEX(Parametry!$H$18:$S$18,1,12),""),IF(ISNUMBER(INDEX(Parametry!$H$24:$S$24,1,12)),INDEX(Parametry!$H$24:$S$24,1,12),"")))</f>
        <v/>
      </c>
      <c r="K296" s="34" t="str">
        <f>IF(C296="","",IF(12&lt;=Parametry!$G$7,0,IF(AND(ISNUMBER(I296),ISNUMBER(J296),J296&gt;=-1),I296*(1+J296),"")))</f>
        <v/>
      </c>
      <c r="L296" s="34" t="str">
        <f>IF(C296="","",IF(12&lt;=Parametry!$G$7,G296,IF(ISNUMBER(K296),H296+K296,"")))</f>
        <v/>
      </c>
      <c r="M296" s="22" t="str">
        <f t="shared" si="8"/>
        <v/>
      </c>
      <c r="N296" s="7">
        <f t="shared" si="9"/>
        <v>0</v>
      </c>
      <c r="O296" s="7"/>
      <c r="P296" s="7"/>
    </row>
    <row r="297" spans="1:16" ht="24" customHeight="1">
      <c r="A297" s="7"/>
      <c r="B297" s="7"/>
      <c r="C297" s="13" t="str">
        <f>IF(Plan!C33="","",Plan!C33)</f>
        <v/>
      </c>
      <c r="D297" s="13" t="str">
        <f>IF(C297="","",Plan!D33)</f>
        <v/>
      </c>
      <c r="E297" s="33" t="str">
        <f>IF(OR(C297="",Parametry!$G$6=""),"",DATE(Parametry!$G$6,1,1))</f>
        <v/>
      </c>
      <c r="F297" s="34" t="str">
        <f>IF(C297="","",Plan!K33)</f>
        <v/>
      </c>
      <c r="G297" s="34" t="str">
        <f>IF(C297="","",SUMIFS(ERP!$I$9:$I$1008,ERP!$L$9:$L$1008,C297,ERP!$N$9:$N$1008,1,ERP!$M$9:$M$1008,1))</f>
        <v/>
      </c>
      <c r="H297" s="34" t="str">
        <f>IF(C297="","",IF(1&lt;=Parametry!$G$7,0,SUMIFS(Umowy!$N$9:$N$108,Umowy!$D$9:$D$108,C297,Umowy!$O$9:$O$108,1)))</f>
        <v/>
      </c>
      <c r="I297" s="34" t="str">
        <f>IF(C297="","",IF(1&lt;=Parametry!$G$7,0,IF(COUNTIFS(Prognoza!$C$9:$C$38,C297)=1,IF(ISBLANK(INDEX(Prognoza!$K$9:$V$38,MATCH($C297,Prognoza!$C$9:$C$38,0),1)),"",IF(ISNUMBER(INDEX(Prognoza!$K$9:$V$38,MATCH($C297,Prognoza!$C$9:$C$38,0),1)),INDEX(Prognoza!$K$9:$V$38,MATCH($C297,Prognoza!$C$9:$C$38,0),1),"")),"")))</f>
        <v/>
      </c>
      <c r="J297" s="35" t="str">
        <f>IF(C297="","",IF(Plan!F33="Run",IF(ISNUMBER(INDEX(Parametry!$H$18:$S$18,1,1)),INDEX(Parametry!$H$18:$S$18,1,1),""),IF(ISNUMBER(INDEX(Parametry!$H$24:$S$24,1,1)),INDEX(Parametry!$H$24:$S$24,1,1),"")))</f>
        <v/>
      </c>
      <c r="K297" s="34" t="str">
        <f>IF(C297="","",IF(1&lt;=Parametry!$G$7,0,IF(AND(ISNUMBER(I297),ISNUMBER(J297),J297&gt;=-1),I297*(1+J297),"")))</f>
        <v/>
      </c>
      <c r="L297" s="34" t="str">
        <f>IF(C297="","",IF(1&lt;=Parametry!$G$7,G297,IF(ISNUMBER(K297),H297+K297,"")))</f>
        <v/>
      </c>
      <c r="M297" s="22" t="str">
        <f t="shared" si="8"/>
        <v/>
      </c>
      <c r="N297" s="7">
        <f t="shared" si="9"/>
        <v>0</v>
      </c>
      <c r="O297" s="7"/>
      <c r="P297" s="7"/>
    </row>
    <row r="298" spans="1:16" ht="24" customHeight="1">
      <c r="A298" s="7"/>
      <c r="B298" s="7"/>
      <c r="C298" s="13" t="str">
        <f>IF(Plan!C33="","",Plan!C33)</f>
        <v/>
      </c>
      <c r="D298" s="13" t="str">
        <f>IF(C298="","",Plan!D33)</f>
        <v/>
      </c>
      <c r="E298" s="33" t="str">
        <f>IF(OR(C298="",Parametry!$G$6=""),"",DATE(Parametry!$G$6,2,1))</f>
        <v/>
      </c>
      <c r="F298" s="34" t="str">
        <f>IF(C298="","",Plan!L33)</f>
        <v/>
      </c>
      <c r="G298" s="34" t="str">
        <f>IF(C298="","",SUMIFS(ERP!$I$9:$I$1008,ERP!$L$9:$L$1008,C298,ERP!$N$9:$N$1008,1,ERP!$M$9:$M$1008,2))</f>
        <v/>
      </c>
      <c r="H298" s="34" t="str">
        <f>IF(C298="","",IF(2&lt;=Parametry!$G$7,0,SUMIFS(Umowy!$N$9:$N$108,Umowy!$D$9:$D$108,C298,Umowy!$O$9:$O$108,2)))</f>
        <v/>
      </c>
      <c r="I298" s="34" t="str">
        <f>IF(C298="","",IF(2&lt;=Parametry!$G$7,0,IF(COUNTIFS(Prognoza!$C$9:$C$38,C298)=1,IF(ISBLANK(INDEX(Prognoza!$K$9:$V$38,MATCH($C298,Prognoza!$C$9:$C$38,0),2)),"",IF(ISNUMBER(INDEX(Prognoza!$K$9:$V$38,MATCH($C298,Prognoza!$C$9:$C$38,0),2)),INDEX(Prognoza!$K$9:$V$38,MATCH($C298,Prognoza!$C$9:$C$38,0),2),"")),"")))</f>
        <v/>
      </c>
      <c r="J298" s="35" t="str">
        <f>IF(C298="","",IF(Plan!F33="Run",IF(ISNUMBER(INDEX(Parametry!$H$18:$S$18,1,2)),INDEX(Parametry!$H$18:$S$18,1,2),""),IF(ISNUMBER(INDEX(Parametry!$H$24:$S$24,1,2)),INDEX(Parametry!$H$24:$S$24,1,2),"")))</f>
        <v/>
      </c>
      <c r="K298" s="34" t="str">
        <f>IF(C298="","",IF(2&lt;=Parametry!$G$7,0,IF(AND(ISNUMBER(I298),ISNUMBER(J298),J298&gt;=-1),I298*(1+J298),"")))</f>
        <v/>
      </c>
      <c r="L298" s="34" t="str">
        <f>IF(C298="","",IF(2&lt;=Parametry!$G$7,G298,IF(ISNUMBER(K298),H298+K298,"")))</f>
        <v/>
      </c>
      <c r="M298" s="22" t="str">
        <f t="shared" si="8"/>
        <v/>
      </c>
      <c r="N298" s="7">
        <f t="shared" si="9"/>
        <v>0</v>
      </c>
      <c r="O298" s="7"/>
      <c r="P298" s="7"/>
    </row>
    <row r="299" spans="1:16" ht="24" customHeight="1">
      <c r="A299" s="7"/>
      <c r="B299" s="7"/>
      <c r="C299" s="13" t="str">
        <f>IF(Plan!C33="","",Plan!C33)</f>
        <v/>
      </c>
      <c r="D299" s="13" t="str">
        <f>IF(C299="","",Plan!D33)</f>
        <v/>
      </c>
      <c r="E299" s="33" t="str">
        <f>IF(OR(C299="",Parametry!$G$6=""),"",DATE(Parametry!$G$6,3,1))</f>
        <v/>
      </c>
      <c r="F299" s="34" t="str">
        <f>IF(C299="","",Plan!M33)</f>
        <v/>
      </c>
      <c r="G299" s="34" t="str">
        <f>IF(C299="","",SUMIFS(ERP!$I$9:$I$1008,ERP!$L$9:$L$1008,C299,ERP!$N$9:$N$1008,1,ERP!$M$9:$M$1008,3))</f>
        <v/>
      </c>
      <c r="H299" s="34" t="str">
        <f>IF(C299="","",IF(3&lt;=Parametry!$G$7,0,SUMIFS(Umowy!$N$9:$N$108,Umowy!$D$9:$D$108,C299,Umowy!$O$9:$O$108,3)))</f>
        <v/>
      </c>
      <c r="I299" s="34" t="str">
        <f>IF(C299="","",IF(3&lt;=Parametry!$G$7,0,IF(COUNTIFS(Prognoza!$C$9:$C$38,C299)=1,IF(ISBLANK(INDEX(Prognoza!$K$9:$V$38,MATCH($C299,Prognoza!$C$9:$C$38,0),3)),"",IF(ISNUMBER(INDEX(Prognoza!$K$9:$V$38,MATCH($C299,Prognoza!$C$9:$C$38,0),3)),INDEX(Prognoza!$K$9:$V$38,MATCH($C299,Prognoza!$C$9:$C$38,0),3),"")),"")))</f>
        <v/>
      </c>
      <c r="J299" s="35" t="str">
        <f>IF(C299="","",IF(Plan!F33="Run",IF(ISNUMBER(INDEX(Parametry!$H$18:$S$18,1,3)),INDEX(Parametry!$H$18:$S$18,1,3),""),IF(ISNUMBER(INDEX(Parametry!$H$24:$S$24,1,3)),INDEX(Parametry!$H$24:$S$24,1,3),"")))</f>
        <v/>
      </c>
      <c r="K299" s="34" t="str">
        <f>IF(C299="","",IF(3&lt;=Parametry!$G$7,0,IF(AND(ISNUMBER(I299),ISNUMBER(J299),J299&gt;=-1),I299*(1+J299),"")))</f>
        <v/>
      </c>
      <c r="L299" s="34" t="str">
        <f>IF(C299="","",IF(3&lt;=Parametry!$G$7,G299,IF(ISNUMBER(K299),H299+K299,"")))</f>
        <v/>
      </c>
      <c r="M299" s="22" t="str">
        <f t="shared" si="8"/>
        <v/>
      </c>
      <c r="N299" s="7">
        <f t="shared" si="9"/>
        <v>0</v>
      </c>
      <c r="O299" s="7"/>
      <c r="P299" s="7"/>
    </row>
    <row r="300" spans="1:16" ht="24" customHeight="1">
      <c r="A300" s="7"/>
      <c r="B300" s="7"/>
      <c r="C300" s="13" t="str">
        <f>IF(Plan!C33="","",Plan!C33)</f>
        <v/>
      </c>
      <c r="D300" s="13" t="str">
        <f>IF(C300="","",Plan!D33)</f>
        <v/>
      </c>
      <c r="E300" s="33" t="str">
        <f>IF(OR(C300="",Parametry!$G$6=""),"",DATE(Parametry!$G$6,4,1))</f>
        <v/>
      </c>
      <c r="F300" s="34" t="str">
        <f>IF(C300="","",Plan!N33)</f>
        <v/>
      </c>
      <c r="G300" s="34" t="str">
        <f>IF(C300="","",SUMIFS(ERP!$I$9:$I$1008,ERP!$L$9:$L$1008,C300,ERP!$N$9:$N$1008,1,ERP!$M$9:$M$1008,4))</f>
        <v/>
      </c>
      <c r="H300" s="34" t="str">
        <f>IF(C300="","",IF(4&lt;=Parametry!$G$7,0,SUMIFS(Umowy!$N$9:$N$108,Umowy!$D$9:$D$108,C300,Umowy!$O$9:$O$108,4)))</f>
        <v/>
      </c>
      <c r="I300" s="34" t="str">
        <f>IF(C300="","",IF(4&lt;=Parametry!$G$7,0,IF(COUNTIFS(Prognoza!$C$9:$C$38,C300)=1,IF(ISBLANK(INDEX(Prognoza!$K$9:$V$38,MATCH($C300,Prognoza!$C$9:$C$38,0),4)),"",IF(ISNUMBER(INDEX(Prognoza!$K$9:$V$38,MATCH($C300,Prognoza!$C$9:$C$38,0),4)),INDEX(Prognoza!$K$9:$V$38,MATCH($C300,Prognoza!$C$9:$C$38,0),4),"")),"")))</f>
        <v/>
      </c>
      <c r="J300" s="35" t="str">
        <f>IF(C300="","",IF(Plan!F33="Run",IF(ISNUMBER(INDEX(Parametry!$H$18:$S$18,1,4)),INDEX(Parametry!$H$18:$S$18,1,4),""),IF(ISNUMBER(INDEX(Parametry!$H$24:$S$24,1,4)),INDEX(Parametry!$H$24:$S$24,1,4),"")))</f>
        <v/>
      </c>
      <c r="K300" s="34" t="str">
        <f>IF(C300="","",IF(4&lt;=Parametry!$G$7,0,IF(AND(ISNUMBER(I300),ISNUMBER(J300),J300&gt;=-1),I300*(1+J300),"")))</f>
        <v/>
      </c>
      <c r="L300" s="34" t="str">
        <f>IF(C300="","",IF(4&lt;=Parametry!$G$7,G300,IF(ISNUMBER(K300),H300+K300,"")))</f>
        <v/>
      </c>
      <c r="M300" s="22" t="str">
        <f t="shared" si="8"/>
        <v/>
      </c>
      <c r="N300" s="7">
        <f t="shared" si="9"/>
        <v>0</v>
      </c>
      <c r="O300" s="7"/>
      <c r="P300" s="7"/>
    </row>
    <row r="301" spans="1:16" ht="24" customHeight="1">
      <c r="A301" s="7"/>
      <c r="B301" s="7"/>
      <c r="C301" s="13" t="str">
        <f>IF(Plan!C33="","",Plan!C33)</f>
        <v/>
      </c>
      <c r="D301" s="13" t="str">
        <f>IF(C301="","",Plan!D33)</f>
        <v/>
      </c>
      <c r="E301" s="33" t="str">
        <f>IF(OR(C301="",Parametry!$G$6=""),"",DATE(Parametry!$G$6,5,1))</f>
        <v/>
      </c>
      <c r="F301" s="34" t="str">
        <f>IF(C301="","",Plan!O33)</f>
        <v/>
      </c>
      <c r="G301" s="34" t="str">
        <f>IF(C301="","",SUMIFS(ERP!$I$9:$I$1008,ERP!$L$9:$L$1008,C301,ERP!$N$9:$N$1008,1,ERP!$M$9:$M$1008,5))</f>
        <v/>
      </c>
      <c r="H301" s="34" t="str">
        <f>IF(C301="","",IF(5&lt;=Parametry!$G$7,0,SUMIFS(Umowy!$N$9:$N$108,Umowy!$D$9:$D$108,C301,Umowy!$O$9:$O$108,5)))</f>
        <v/>
      </c>
      <c r="I301" s="34" t="str">
        <f>IF(C301="","",IF(5&lt;=Parametry!$G$7,0,IF(COUNTIFS(Prognoza!$C$9:$C$38,C301)=1,IF(ISBLANK(INDEX(Prognoza!$K$9:$V$38,MATCH($C301,Prognoza!$C$9:$C$38,0),5)),"",IF(ISNUMBER(INDEX(Prognoza!$K$9:$V$38,MATCH($C301,Prognoza!$C$9:$C$38,0),5)),INDEX(Prognoza!$K$9:$V$38,MATCH($C301,Prognoza!$C$9:$C$38,0),5),"")),"")))</f>
        <v/>
      </c>
      <c r="J301" s="35" t="str">
        <f>IF(C301="","",IF(Plan!F33="Run",IF(ISNUMBER(INDEX(Parametry!$H$18:$S$18,1,5)),INDEX(Parametry!$H$18:$S$18,1,5),""),IF(ISNUMBER(INDEX(Parametry!$H$24:$S$24,1,5)),INDEX(Parametry!$H$24:$S$24,1,5),"")))</f>
        <v/>
      </c>
      <c r="K301" s="34" t="str">
        <f>IF(C301="","",IF(5&lt;=Parametry!$G$7,0,IF(AND(ISNUMBER(I301),ISNUMBER(J301),J301&gt;=-1),I301*(1+J301),"")))</f>
        <v/>
      </c>
      <c r="L301" s="34" t="str">
        <f>IF(C301="","",IF(5&lt;=Parametry!$G$7,G301,IF(ISNUMBER(K301),H301+K301,"")))</f>
        <v/>
      </c>
      <c r="M301" s="22" t="str">
        <f t="shared" si="8"/>
        <v/>
      </c>
      <c r="N301" s="7">
        <f t="shared" si="9"/>
        <v>0</v>
      </c>
      <c r="O301" s="7"/>
      <c r="P301" s="7"/>
    </row>
    <row r="302" spans="1:16" ht="24" customHeight="1">
      <c r="A302" s="7"/>
      <c r="B302" s="7"/>
      <c r="C302" s="13" t="str">
        <f>IF(Plan!C33="","",Plan!C33)</f>
        <v/>
      </c>
      <c r="D302" s="13" t="str">
        <f>IF(C302="","",Plan!D33)</f>
        <v/>
      </c>
      <c r="E302" s="33" t="str">
        <f>IF(OR(C302="",Parametry!$G$6=""),"",DATE(Parametry!$G$6,6,1))</f>
        <v/>
      </c>
      <c r="F302" s="34" t="str">
        <f>IF(C302="","",Plan!P33)</f>
        <v/>
      </c>
      <c r="G302" s="34" t="str">
        <f>IF(C302="","",SUMIFS(ERP!$I$9:$I$1008,ERP!$L$9:$L$1008,C302,ERP!$N$9:$N$1008,1,ERP!$M$9:$M$1008,6))</f>
        <v/>
      </c>
      <c r="H302" s="34" t="str">
        <f>IF(C302="","",IF(6&lt;=Parametry!$G$7,0,SUMIFS(Umowy!$N$9:$N$108,Umowy!$D$9:$D$108,C302,Umowy!$O$9:$O$108,6)))</f>
        <v/>
      </c>
      <c r="I302" s="34" t="str">
        <f>IF(C302="","",IF(6&lt;=Parametry!$G$7,0,IF(COUNTIFS(Prognoza!$C$9:$C$38,C302)=1,IF(ISBLANK(INDEX(Prognoza!$K$9:$V$38,MATCH($C302,Prognoza!$C$9:$C$38,0),6)),"",IF(ISNUMBER(INDEX(Prognoza!$K$9:$V$38,MATCH($C302,Prognoza!$C$9:$C$38,0),6)),INDEX(Prognoza!$K$9:$V$38,MATCH($C302,Prognoza!$C$9:$C$38,0),6),"")),"")))</f>
        <v/>
      </c>
      <c r="J302" s="35" t="str">
        <f>IF(C302="","",IF(Plan!F33="Run",IF(ISNUMBER(INDEX(Parametry!$H$18:$S$18,1,6)),INDEX(Parametry!$H$18:$S$18,1,6),""),IF(ISNUMBER(INDEX(Parametry!$H$24:$S$24,1,6)),INDEX(Parametry!$H$24:$S$24,1,6),"")))</f>
        <v/>
      </c>
      <c r="K302" s="34" t="str">
        <f>IF(C302="","",IF(6&lt;=Parametry!$G$7,0,IF(AND(ISNUMBER(I302),ISNUMBER(J302),J302&gt;=-1),I302*(1+J302),"")))</f>
        <v/>
      </c>
      <c r="L302" s="34" t="str">
        <f>IF(C302="","",IF(6&lt;=Parametry!$G$7,G302,IF(ISNUMBER(K302),H302+K302,"")))</f>
        <v/>
      </c>
      <c r="M302" s="22" t="str">
        <f t="shared" si="8"/>
        <v/>
      </c>
      <c r="N302" s="7">
        <f t="shared" si="9"/>
        <v>0</v>
      </c>
      <c r="O302" s="7"/>
      <c r="P302" s="7"/>
    </row>
    <row r="303" spans="1:16" ht="24" customHeight="1">
      <c r="A303" s="7"/>
      <c r="B303" s="7"/>
      <c r="C303" s="13" t="str">
        <f>IF(Plan!C33="","",Plan!C33)</f>
        <v/>
      </c>
      <c r="D303" s="13" t="str">
        <f>IF(C303="","",Plan!D33)</f>
        <v/>
      </c>
      <c r="E303" s="33" t="str">
        <f>IF(OR(C303="",Parametry!$G$6=""),"",DATE(Parametry!$G$6,7,1))</f>
        <v/>
      </c>
      <c r="F303" s="34" t="str">
        <f>IF(C303="","",Plan!Q33)</f>
        <v/>
      </c>
      <c r="G303" s="34" t="str">
        <f>IF(C303="","",SUMIFS(ERP!$I$9:$I$1008,ERP!$L$9:$L$1008,C303,ERP!$N$9:$N$1008,1,ERP!$M$9:$M$1008,7))</f>
        <v/>
      </c>
      <c r="H303" s="34" t="str">
        <f>IF(C303="","",IF(7&lt;=Parametry!$G$7,0,SUMIFS(Umowy!$N$9:$N$108,Umowy!$D$9:$D$108,C303,Umowy!$O$9:$O$108,7)))</f>
        <v/>
      </c>
      <c r="I303" s="34" t="str">
        <f>IF(C303="","",IF(7&lt;=Parametry!$G$7,0,IF(COUNTIFS(Prognoza!$C$9:$C$38,C303)=1,IF(ISBLANK(INDEX(Prognoza!$K$9:$V$38,MATCH($C303,Prognoza!$C$9:$C$38,0),7)),"",IF(ISNUMBER(INDEX(Prognoza!$K$9:$V$38,MATCH($C303,Prognoza!$C$9:$C$38,0),7)),INDEX(Prognoza!$K$9:$V$38,MATCH($C303,Prognoza!$C$9:$C$38,0),7),"")),"")))</f>
        <v/>
      </c>
      <c r="J303" s="35" t="str">
        <f>IF(C303="","",IF(Plan!F33="Run",IF(ISNUMBER(INDEX(Parametry!$H$18:$S$18,1,7)),INDEX(Parametry!$H$18:$S$18,1,7),""),IF(ISNUMBER(INDEX(Parametry!$H$24:$S$24,1,7)),INDEX(Parametry!$H$24:$S$24,1,7),"")))</f>
        <v/>
      </c>
      <c r="K303" s="34" t="str">
        <f>IF(C303="","",IF(7&lt;=Parametry!$G$7,0,IF(AND(ISNUMBER(I303),ISNUMBER(J303),J303&gt;=-1),I303*(1+J303),"")))</f>
        <v/>
      </c>
      <c r="L303" s="34" t="str">
        <f>IF(C303="","",IF(7&lt;=Parametry!$G$7,G303,IF(ISNUMBER(K303),H303+K303,"")))</f>
        <v/>
      </c>
      <c r="M303" s="22" t="str">
        <f t="shared" si="8"/>
        <v/>
      </c>
      <c r="N303" s="7">
        <f t="shared" si="9"/>
        <v>0</v>
      </c>
      <c r="O303" s="7"/>
      <c r="P303" s="7"/>
    </row>
    <row r="304" spans="1:16" ht="24" customHeight="1">
      <c r="A304" s="7"/>
      <c r="B304" s="7"/>
      <c r="C304" s="13" t="str">
        <f>IF(Plan!C33="","",Plan!C33)</f>
        <v/>
      </c>
      <c r="D304" s="13" t="str">
        <f>IF(C304="","",Plan!D33)</f>
        <v/>
      </c>
      <c r="E304" s="33" t="str">
        <f>IF(OR(C304="",Parametry!$G$6=""),"",DATE(Parametry!$G$6,8,1))</f>
        <v/>
      </c>
      <c r="F304" s="34" t="str">
        <f>IF(C304="","",Plan!R33)</f>
        <v/>
      </c>
      <c r="G304" s="34" t="str">
        <f>IF(C304="","",SUMIFS(ERP!$I$9:$I$1008,ERP!$L$9:$L$1008,C304,ERP!$N$9:$N$1008,1,ERP!$M$9:$M$1008,8))</f>
        <v/>
      </c>
      <c r="H304" s="34" t="str">
        <f>IF(C304="","",IF(8&lt;=Parametry!$G$7,0,SUMIFS(Umowy!$N$9:$N$108,Umowy!$D$9:$D$108,C304,Umowy!$O$9:$O$108,8)))</f>
        <v/>
      </c>
      <c r="I304" s="34" t="str">
        <f>IF(C304="","",IF(8&lt;=Parametry!$G$7,0,IF(COUNTIFS(Prognoza!$C$9:$C$38,C304)=1,IF(ISBLANK(INDEX(Prognoza!$K$9:$V$38,MATCH($C304,Prognoza!$C$9:$C$38,0),8)),"",IF(ISNUMBER(INDEX(Prognoza!$K$9:$V$38,MATCH($C304,Prognoza!$C$9:$C$38,0),8)),INDEX(Prognoza!$K$9:$V$38,MATCH($C304,Prognoza!$C$9:$C$38,0),8),"")),"")))</f>
        <v/>
      </c>
      <c r="J304" s="35" t="str">
        <f>IF(C304="","",IF(Plan!F33="Run",IF(ISNUMBER(INDEX(Parametry!$H$18:$S$18,1,8)),INDEX(Parametry!$H$18:$S$18,1,8),""),IF(ISNUMBER(INDEX(Parametry!$H$24:$S$24,1,8)),INDEX(Parametry!$H$24:$S$24,1,8),"")))</f>
        <v/>
      </c>
      <c r="K304" s="34" t="str">
        <f>IF(C304="","",IF(8&lt;=Parametry!$G$7,0,IF(AND(ISNUMBER(I304),ISNUMBER(J304),J304&gt;=-1),I304*(1+J304),"")))</f>
        <v/>
      </c>
      <c r="L304" s="34" t="str">
        <f>IF(C304="","",IF(8&lt;=Parametry!$G$7,G304,IF(ISNUMBER(K304),H304+K304,"")))</f>
        <v/>
      </c>
      <c r="M304" s="22" t="str">
        <f t="shared" si="8"/>
        <v/>
      </c>
      <c r="N304" s="7">
        <f t="shared" si="9"/>
        <v>0</v>
      </c>
      <c r="O304" s="7"/>
      <c r="P304" s="7"/>
    </row>
    <row r="305" spans="1:16" ht="24" customHeight="1">
      <c r="A305" s="7"/>
      <c r="B305" s="7"/>
      <c r="C305" s="13" t="str">
        <f>IF(Plan!C33="","",Plan!C33)</f>
        <v/>
      </c>
      <c r="D305" s="13" t="str">
        <f>IF(C305="","",Plan!D33)</f>
        <v/>
      </c>
      <c r="E305" s="33" t="str">
        <f>IF(OR(C305="",Parametry!$G$6=""),"",DATE(Parametry!$G$6,9,1))</f>
        <v/>
      </c>
      <c r="F305" s="34" t="str">
        <f>IF(C305="","",Plan!S33)</f>
        <v/>
      </c>
      <c r="G305" s="34" t="str">
        <f>IF(C305="","",SUMIFS(ERP!$I$9:$I$1008,ERP!$L$9:$L$1008,C305,ERP!$N$9:$N$1008,1,ERP!$M$9:$M$1008,9))</f>
        <v/>
      </c>
      <c r="H305" s="34" t="str">
        <f>IF(C305="","",IF(9&lt;=Parametry!$G$7,0,SUMIFS(Umowy!$N$9:$N$108,Umowy!$D$9:$D$108,C305,Umowy!$O$9:$O$108,9)))</f>
        <v/>
      </c>
      <c r="I305" s="34" t="str">
        <f>IF(C305="","",IF(9&lt;=Parametry!$G$7,0,IF(COUNTIFS(Prognoza!$C$9:$C$38,C305)=1,IF(ISBLANK(INDEX(Prognoza!$K$9:$V$38,MATCH($C305,Prognoza!$C$9:$C$38,0),9)),"",IF(ISNUMBER(INDEX(Prognoza!$K$9:$V$38,MATCH($C305,Prognoza!$C$9:$C$38,0),9)),INDEX(Prognoza!$K$9:$V$38,MATCH($C305,Prognoza!$C$9:$C$38,0),9),"")),"")))</f>
        <v/>
      </c>
      <c r="J305" s="35" t="str">
        <f>IF(C305="","",IF(Plan!F33="Run",IF(ISNUMBER(INDEX(Parametry!$H$18:$S$18,1,9)),INDEX(Parametry!$H$18:$S$18,1,9),""),IF(ISNUMBER(INDEX(Parametry!$H$24:$S$24,1,9)),INDEX(Parametry!$H$24:$S$24,1,9),"")))</f>
        <v/>
      </c>
      <c r="K305" s="34" t="str">
        <f>IF(C305="","",IF(9&lt;=Parametry!$G$7,0,IF(AND(ISNUMBER(I305),ISNUMBER(J305),J305&gt;=-1),I305*(1+J305),"")))</f>
        <v/>
      </c>
      <c r="L305" s="34" t="str">
        <f>IF(C305="","",IF(9&lt;=Parametry!$G$7,G305,IF(ISNUMBER(K305),H305+K305,"")))</f>
        <v/>
      </c>
      <c r="M305" s="22" t="str">
        <f t="shared" si="8"/>
        <v/>
      </c>
      <c r="N305" s="7">
        <f t="shared" si="9"/>
        <v>0</v>
      </c>
      <c r="O305" s="7"/>
      <c r="P305" s="7"/>
    </row>
    <row r="306" spans="1:16" ht="24" customHeight="1">
      <c r="A306" s="7"/>
      <c r="B306" s="7"/>
      <c r="C306" s="13" t="str">
        <f>IF(Plan!C33="","",Plan!C33)</f>
        <v/>
      </c>
      <c r="D306" s="13" t="str">
        <f>IF(C306="","",Plan!D33)</f>
        <v/>
      </c>
      <c r="E306" s="33" t="str">
        <f>IF(OR(C306="",Parametry!$G$6=""),"",DATE(Parametry!$G$6,10,1))</f>
        <v/>
      </c>
      <c r="F306" s="34" t="str">
        <f>IF(C306="","",Plan!T33)</f>
        <v/>
      </c>
      <c r="G306" s="34" t="str">
        <f>IF(C306="","",SUMIFS(ERP!$I$9:$I$1008,ERP!$L$9:$L$1008,C306,ERP!$N$9:$N$1008,1,ERP!$M$9:$M$1008,10))</f>
        <v/>
      </c>
      <c r="H306" s="34" t="str">
        <f>IF(C306="","",IF(10&lt;=Parametry!$G$7,0,SUMIFS(Umowy!$N$9:$N$108,Umowy!$D$9:$D$108,C306,Umowy!$O$9:$O$108,10)))</f>
        <v/>
      </c>
      <c r="I306" s="34" t="str">
        <f>IF(C306="","",IF(10&lt;=Parametry!$G$7,0,IF(COUNTIFS(Prognoza!$C$9:$C$38,C306)=1,IF(ISBLANK(INDEX(Prognoza!$K$9:$V$38,MATCH($C306,Prognoza!$C$9:$C$38,0),10)),"",IF(ISNUMBER(INDEX(Prognoza!$K$9:$V$38,MATCH($C306,Prognoza!$C$9:$C$38,0),10)),INDEX(Prognoza!$K$9:$V$38,MATCH($C306,Prognoza!$C$9:$C$38,0),10),"")),"")))</f>
        <v/>
      </c>
      <c r="J306" s="35" t="str">
        <f>IF(C306="","",IF(Plan!F33="Run",IF(ISNUMBER(INDEX(Parametry!$H$18:$S$18,1,10)),INDEX(Parametry!$H$18:$S$18,1,10),""),IF(ISNUMBER(INDEX(Parametry!$H$24:$S$24,1,10)),INDEX(Parametry!$H$24:$S$24,1,10),"")))</f>
        <v/>
      </c>
      <c r="K306" s="34" t="str">
        <f>IF(C306="","",IF(10&lt;=Parametry!$G$7,0,IF(AND(ISNUMBER(I306),ISNUMBER(J306),J306&gt;=-1),I306*(1+J306),"")))</f>
        <v/>
      </c>
      <c r="L306" s="34" t="str">
        <f>IF(C306="","",IF(10&lt;=Parametry!$G$7,G306,IF(ISNUMBER(K306),H306+K306,"")))</f>
        <v/>
      </c>
      <c r="M306" s="22" t="str">
        <f t="shared" si="8"/>
        <v/>
      </c>
      <c r="N306" s="7">
        <f t="shared" si="9"/>
        <v>0</v>
      </c>
      <c r="O306" s="7"/>
      <c r="P306" s="7"/>
    </row>
    <row r="307" spans="1:16" ht="24" customHeight="1">
      <c r="A307" s="7"/>
      <c r="B307" s="7"/>
      <c r="C307" s="13" t="str">
        <f>IF(Plan!C33="","",Plan!C33)</f>
        <v/>
      </c>
      <c r="D307" s="13" t="str">
        <f>IF(C307="","",Plan!D33)</f>
        <v/>
      </c>
      <c r="E307" s="33" t="str">
        <f>IF(OR(C307="",Parametry!$G$6=""),"",DATE(Parametry!$G$6,11,1))</f>
        <v/>
      </c>
      <c r="F307" s="34" t="str">
        <f>IF(C307="","",Plan!U33)</f>
        <v/>
      </c>
      <c r="G307" s="34" t="str">
        <f>IF(C307="","",SUMIFS(ERP!$I$9:$I$1008,ERP!$L$9:$L$1008,C307,ERP!$N$9:$N$1008,1,ERP!$M$9:$M$1008,11))</f>
        <v/>
      </c>
      <c r="H307" s="34" t="str">
        <f>IF(C307="","",IF(11&lt;=Parametry!$G$7,0,SUMIFS(Umowy!$N$9:$N$108,Umowy!$D$9:$D$108,C307,Umowy!$O$9:$O$108,11)))</f>
        <v/>
      </c>
      <c r="I307" s="34" t="str">
        <f>IF(C307="","",IF(11&lt;=Parametry!$G$7,0,IF(COUNTIFS(Prognoza!$C$9:$C$38,C307)=1,IF(ISBLANK(INDEX(Prognoza!$K$9:$V$38,MATCH($C307,Prognoza!$C$9:$C$38,0),11)),"",IF(ISNUMBER(INDEX(Prognoza!$K$9:$V$38,MATCH($C307,Prognoza!$C$9:$C$38,0),11)),INDEX(Prognoza!$K$9:$V$38,MATCH($C307,Prognoza!$C$9:$C$38,0),11),"")),"")))</f>
        <v/>
      </c>
      <c r="J307" s="35" t="str">
        <f>IF(C307="","",IF(Plan!F33="Run",IF(ISNUMBER(INDEX(Parametry!$H$18:$S$18,1,11)),INDEX(Parametry!$H$18:$S$18,1,11),""),IF(ISNUMBER(INDEX(Parametry!$H$24:$S$24,1,11)),INDEX(Parametry!$H$24:$S$24,1,11),"")))</f>
        <v/>
      </c>
      <c r="K307" s="34" t="str">
        <f>IF(C307="","",IF(11&lt;=Parametry!$G$7,0,IF(AND(ISNUMBER(I307),ISNUMBER(J307),J307&gt;=-1),I307*(1+J307),"")))</f>
        <v/>
      </c>
      <c r="L307" s="34" t="str">
        <f>IF(C307="","",IF(11&lt;=Parametry!$G$7,G307,IF(ISNUMBER(K307),H307+K307,"")))</f>
        <v/>
      </c>
      <c r="M307" s="22" t="str">
        <f t="shared" si="8"/>
        <v/>
      </c>
      <c r="N307" s="7">
        <f t="shared" si="9"/>
        <v>0</v>
      </c>
      <c r="O307" s="7"/>
      <c r="P307" s="7"/>
    </row>
    <row r="308" spans="1:16" ht="24" customHeight="1">
      <c r="A308" s="7"/>
      <c r="B308" s="7"/>
      <c r="C308" s="13" t="str">
        <f>IF(Plan!C33="","",Plan!C33)</f>
        <v/>
      </c>
      <c r="D308" s="13" t="str">
        <f>IF(C308="","",Plan!D33)</f>
        <v/>
      </c>
      <c r="E308" s="33" t="str">
        <f>IF(OR(C308="",Parametry!$G$6=""),"",DATE(Parametry!$G$6,12,1))</f>
        <v/>
      </c>
      <c r="F308" s="34" t="str">
        <f>IF(C308="","",Plan!V33)</f>
        <v/>
      </c>
      <c r="G308" s="34" t="str">
        <f>IF(C308="","",SUMIFS(ERP!$I$9:$I$1008,ERP!$L$9:$L$1008,C308,ERP!$N$9:$N$1008,1,ERP!$M$9:$M$1008,12))</f>
        <v/>
      </c>
      <c r="H308" s="34" t="str">
        <f>IF(C308="","",IF(12&lt;=Parametry!$G$7,0,SUMIFS(Umowy!$N$9:$N$108,Umowy!$D$9:$D$108,C308,Umowy!$O$9:$O$108,12)))</f>
        <v/>
      </c>
      <c r="I308" s="34" t="str">
        <f>IF(C308="","",IF(12&lt;=Parametry!$G$7,0,IF(COUNTIFS(Prognoza!$C$9:$C$38,C308)=1,IF(ISBLANK(INDEX(Prognoza!$K$9:$V$38,MATCH($C308,Prognoza!$C$9:$C$38,0),12)),"",IF(ISNUMBER(INDEX(Prognoza!$K$9:$V$38,MATCH($C308,Prognoza!$C$9:$C$38,0),12)),INDEX(Prognoza!$K$9:$V$38,MATCH($C308,Prognoza!$C$9:$C$38,0),12),"")),"")))</f>
        <v/>
      </c>
      <c r="J308" s="35" t="str">
        <f>IF(C308="","",IF(Plan!F33="Run",IF(ISNUMBER(INDEX(Parametry!$H$18:$S$18,1,12)),INDEX(Parametry!$H$18:$S$18,1,12),""),IF(ISNUMBER(INDEX(Parametry!$H$24:$S$24,1,12)),INDEX(Parametry!$H$24:$S$24,1,12),"")))</f>
        <v/>
      </c>
      <c r="K308" s="34" t="str">
        <f>IF(C308="","",IF(12&lt;=Parametry!$G$7,0,IF(AND(ISNUMBER(I308),ISNUMBER(J308),J308&gt;=-1),I308*(1+J308),"")))</f>
        <v/>
      </c>
      <c r="L308" s="34" t="str">
        <f>IF(C308="","",IF(12&lt;=Parametry!$G$7,G308,IF(ISNUMBER(K308),H308+K308,"")))</f>
        <v/>
      </c>
      <c r="M308" s="22" t="str">
        <f t="shared" si="8"/>
        <v/>
      </c>
      <c r="N308" s="7">
        <f t="shared" si="9"/>
        <v>0</v>
      </c>
      <c r="O308" s="7"/>
      <c r="P308" s="7"/>
    </row>
    <row r="309" spans="1:16" ht="24" customHeight="1">
      <c r="A309" s="7"/>
      <c r="B309" s="7"/>
      <c r="C309" s="13" t="str">
        <f>IF(Plan!C34="","",Plan!C34)</f>
        <v/>
      </c>
      <c r="D309" s="13" t="str">
        <f>IF(C309="","",Plan!D34)</f>
        <v/>
      </c>
      <c r="E309" s="33" t="str">
        <f>IF(OR(C309="",Parametry!$G$6=""),"",DATE(Parametry!$G$6,1,1))</f>
        <v/>
      </c>
      <c r="F309" s="34" t="str">
        <f>IF(C309="","",Plan!K34)</f>
        <v/>
      </c>
      <c r="G309" s="34" t="str">
        <f>IF(C309="","",SUMIFS(ERP!$I$9:$I$1008,ERP!$L$9:$L$1008,C309,ERP!$N$9:$N$1008,1,ERP!$M$9:$M$1008,1))</f>
        <v/>
      </c>
      <c r="H309" s="34" t="str">
        <f>IF(C309="","",IF(1&lt;=Parametry!$G$7,0,SUMIFS(Umowy!$N$9:$N$108,Umowy!$D$9:$D$108,C309,Umowy!$O$9:$O$108,1)))</f>
        <v/>
      </c>
      <c r="I309" s="34" t="str">
        <f>IF(C309="","",IF(1&lt;=Parametry!$G$7,0,IF(COUNTIFS(Prognoza!$C$9:$C$38,C309)=1,IF(ISBLANK(INDEX(Prognoza!$K$9:$V$38,MATCH($C309,Prognoza!$C$9:$C$38,0),1)),"",IF(ISNUMBER(INDEX(Prognoza!$K$9:$V$38,MATCH($C309,Prognoza!$C$9:$C$38,0),1)),INDEX(Prognoza!$K$9:$V$38,MATCH($C309,Prognoza!$C$9:$C$38,0),1),"")),"")))</f>
        <v/>
      </c>
      <c r="J309" s="35" t="str">
        <f>IF(C309="","",IF(Plan!F34="Run",IF(ISNUMBER(INDEX(Parametry!$H$18:$S$18,1,1)),INDEX(Parametry!$H$18:$S$18,1,1),""),IF(ISNUMBER(INDEX(Parametry!$H$24:$S$24,1,1)),INDEX(Parametry!$H$24:$S$24,1,1),"")))</f>
        <v/>
      </c>
      <c r="K309" s="34" t="str">
        <f>IF(C309="","",IF(1&lt;=Parametry!$G$7,0,IF(AND(ISNUMBER(I309),ISNUMBER(J309),J309&gt;=-1),I309*(1+J309),"")))</f>
        <v/>
      </c>
      <c r="L309" s="34" t="str">
        <f>IF(C309="","",IF(1&lt;=Parametry!$G$7,G309,IF(ISNUMBER(K309),H309+K309,"")))</f>
        <v/>
      </c>
      <c r="M309" s="22" t="str">
        <f t="shared" si="8"/>
        <v/>
      </c>
      <c r="N309" s="7">
        <f t="shared" si="9"/>
        <v>0</v>
      </c>
      <c r="O309" s="7"/>
      <c r="P309" s="7"/>
    </row>
    <row r="310" spans="1:16" ht="24" customHeight="1">
      <c r="A310" s="7"/>
      <c r="B310" s="7"/>
      <c r="C310" s="13" t="str">
        <f>IF(Plan!C34="","",Plan!C34)</f>
        <v/>
      </c>
      <c r="D310" s="13" t="str">
        <f>IF(C310="","",Plan!D34)</f>
        <v/>
      </c>
      <c r="E310" s="33" t="str">
        <f>IF(OR(C310="",Parametry!$G$6=""),"",DATE(Parametry!$G$6,2,1))</f>
        <v/>
      </c>
      <c r="F310" s="34" t="str">
        <f>IF(C310="","",Plan!L34)</f>
        <v/>
      </c>
      <c r="G310" s="34" t="str">
        <f>IF(C310="","",SUMIFS(ERP!$I$9:$I$1008,ERP!$L$9:$L$1008,C310,ERP!$N$9:$N$1008,1,ERP!$M$9:$M$1008,2))</f>
        <v/>
      </c>
      <c r="H310" s="34" t="str">
        <f>IF(C310="","",IF(2&lt;=Parametry!$G$7,0,SUMIFS(Umowy!$N$9:$N$108,Umowy!$D$9:$D$108,C310,Umowy!$O$9:$O$108,2)))</f>
        <v/>
      </c>
      <c r="I310" s="34" t="str">
        <f>IF(C310="","",IF(2&lt;=Parametry!$G$7,0,IF(COUNTIFS(Prognoza!$C$9:$C$38,C310)=1,IF(ISBLANK(INDEX(Prognoza!$K$9:$V$38,MATCH($C310,Prognoza!$C$9:$C$38,0),2)),"",IF(ISNUMBER(INDEX(Prognoza!$K$9:$V$38,MATCH($C310,Prognoza!$C$9:$C$38,0),2)),INDEX(Prognoza!$K$9:$V$38,MATCH($C310,Prognoza!$C$9:$C$38,0),2),"")),"")))</f>
        <v/>
      </c>
      <c r="J310" s="35" t="str">
        <f>IF(C310="","",IF(Plan!F34="Run",IF(ISNUMBER(INDEX(Parametry!$H$18:$S$18,1,2)),INDEX(Parametry!$H$18:$S$18,1,2),""),IF(ISNUMBER(INDEX(Parametry!$H$24:$S$24,1,2)),INDEX(Parametry!$H$24:$S$24,1,2),"")))</f>
        <v/>
      </c>
      <c r="K310" s="34" t="str">
        <f>IF(C310="","",IF(2&lt;=Parametry!$G$7,0,IF(AND(ISNUMBER(I310),ISNUMBER(J310),J310&gt;=-1),I310*(1+J310),"")))</f>
        <v/>
      </c>
      <c r="L310" s="34" t="str">
        <f>IF(C310="","",IF(2&lt;=Parametry!$G$7,G310,IF(ISNUMBER(K310),H310+K310,"")))</f>
        <v/>
      </c>
      <c r="M310" s="22" t="str">
        <f t="shared" si="8"/>
        <v/>
      </c>
      <c r="N310" s="7">
        <f t="shared" si="9"/>
        <v>0</v>
      </c>
      <c r="O310" s="7"/>
      <c r="P310" s="7"/>
    </row>
    <row r="311" spans="1:16" ht="24" customHeight="1">
      <c r="A311" s="7"/>
      <c r="B311" s="7"/>
      <c r="C311" s="13" t="str">
        <f>IF(Plan!C34="","",Plan!C34)</f>
        <v/>
      </c>
      <c r="D311" s="13" t="str">
        <f>IF(C311="","",Plan!D34)</f>
        <v/>
      </c>
      <c r="E311" s="33" t="str">
        <f>IF(OR(C311="",Parametry!$G$6=""),"",DATE(Parametry!$G$6,3,1))</f>
        <v/>
      </c>
      <c r="F311" s="34" t="str">
        <f>IF(C311="","",Plan!M34)</f>
        <v/>
      </c>
      <c r="G311" s="34" t="str">
        <f>IF(C311="","",SUMIFS(ERP!$I$9:$I$1008,ERP!$L$9:$L$1008,C311,ERP!$N$9:$N$1008,1,ERP!$M$9:$M$1008,3))</f>
        <v/>
      </c>
      <c r="H311" s="34" t="str">
        <f>IF(C311="","",IF(3&lt;=Parametry!$G$7,0,SUMIFS(Umowy!$N$9:$N$108,Umowy!$D$9:$D$108,C311,Umowy!$O$9:$O$108,3)))</f>
        <v/>
      </c>
      <c r="I311" s="34" t="str">
        <f>IF(C311="","",IF(3&lt;=Parametry!$G$7,0,IF(COUNTIFS(Prognoza!$C$9:$C$38,C311)=1,IF(ISBLANK(INDEX(Prognoza!$K$9:$V$38,MATCH($C311,Prognoza!$C$9:$C$38,0),3)),"",IF(ISNUMBER(INDEX(Prognoza!$K$9:$V$38,MATCH($C311,Prognoza!$C$9:$C$38,0),3)),INDEX(Prognoza!$K$9:$V$38,MATCH($C311,Prognoza!$C$9:$C$38,0),3),"")),"")))</f>
        <v/>
      </c>
      <c r="J311" s="35" t="str">
        <f>IF(C311="","",IF(Plan!F34="Run",IF(ISNUMBER(INDEX(Parametry!$H$18:$S$18,1,3)),INDEX(Parametry!$H$18:$S$18,1,3),""),IF(ISNUMBER(INDEX(Parametry!$H$24:$S$24,1,3)),INDEX(Parametry!$H$24:$S$24,1,3),"")))</f>
        <v/>
      </c>
      <c r="K311" s="34" t="str">
        <f>IF(C311="","",IF(3&lt;=Parametry!$G$7,0,IF(AND(ISNUMBER(I311),ISNUMBER(J311),J311&gt;=-1),I311*(1+J311),"")))</f>
        <v/>
      </c>
      <c r="L311" s="34" t="str">
        <f>IF(C311="","",IF(3&lt;=Parametry!$G$7,G311,IF(ISNUMBER(K311),H311+K311,"")))</f>
        <v/>
      </c>
      <c r="M311" s="22" t="str">
        <f t="shared" si="8"/>
        <v/>
      </c>
      <c r="N311" s="7">
        <f t="shared" si="9"/>
        <v>0</v>
      </c>
      <c r="O311" s="7"/>
      <c r="P311" s="7"/>
    </row>
    <row r="312" spans="1:16" ht="24" customHeight="1">
      <c r="A312" s="7"/>
      <c r="B312" s="7"/>
      <c r="C312" s="13" t="str">
        <f>IF(Plan!C34="","",Plan!C34)</f>
        <v/>
      </c>
      <c r="D312" s="13" t="str">
        <f>IF(C312="","",Plan!D34)</f>
        <v/>
      </c>
      <c r="E312" s="33" t="str">
        <f>IF(OR(C312="",Parametry!$G$6=""),"",DATE(Parametry!$G$6,4,1))</f>
        <v/>
      </c>
      <c r="F312" s="34" t="str">
        <f>IF(C312="","",Plan!N34)</f>
        <v/>
      </c>
      <c r="G312" s="34" t="str">
        <f>IF(C312="","",SUMIFS(ERP!$I$9:$I$1008,ERP!$L$9:$L$1008,C312,ERP!$N$9:$N$1008,1,ERP!$M$9:$M$1008,4))</f>
        <v/>
      </c>
      <c r="H312" s="34" t="str">
        <f>IF(C312="","",IF(4&lt;=Parametry!$G$7,0,SUMIFS(Umowy!$N$9:$N$108,Umowy!$D$9:$D$108,C312,Umowy!$O$9:$O$108,4)))</f>
        <v/>
      </c>
      <c r="I312" s="34" t="str">
        <f>IF(C312="","",IF(4&lt;=Parametry!$G$7,0,IF(COUNTIFS(Prognoza!$C$9:$C$38,C312)=1,IF(ISBLANK(INDEX(Prognoza!$K$9:$V$38,MATCH($C312,Prognoza!$C$9:$C$38,0),4)),"",IF(ISNUMBER(INDEX(Prognoza!$K$9:$V$38,MATCH($C312,Prognoza!$C$9:$C$38,0),4)),INDEX(Prognoza!$K$9:$V$38,MATCH($C312,Prognoza!$C$9:$C$38,0),4),"")),"")))</f>
        <v/>
      </c>
      <c r="J312" s="35" t="str">
        <f>IF(C312="","",IF(Plan!F34="Run",IF(ISNUMBER(INDEX(Parametry!$H$18:$S$18,1,4)),INDEX(Parametry!$H$18:$S$18,1,4),""),IF(ISNUMBER(INDEX(Parametry!$H$24:$S$24,1,4)),INDEX(Parametry!$H$24:$S$24,1,4),"")))</f>
        <v/>
      </c>
      <c r="K312" s="34" t="str">
        <f>IF(C312="","",IF(4&lt;=Parametry!$G$7,0,IF(AND(ISNUMBER(I312),ISNUMBER(J312),J312&gt;=-1),I312*(1+J312),"")))</f>
        <v/>
      </c>
      <c r="L312" s="34" t="str">
        <f>IF(C312="","",IF(4&lt;=Parametry!$G$7,G312,IF(ISNUMBER(K312),H312+K312,"")))</f>
        <v/>
      </c>
      <c r="M312" s="22" t="str">
        <f t="shared" si="8"/>
        <v/>
      </c>
      <c r="N312" s="7">
        <f t="shared" si="9"/>
        <v>0</v>
      </c>
      <c r="O312" s="7"/>
      <c r="P312" s="7"/>
    </row>
    <row r="313" spans="1:16" ht="24" customHeight="1">
      <c r="A313" s="7"/>
      <c r="B313" s="7"/>
      <c r="C313" s="13" t="str">
        <f>IF(Plan!C34="","",Plan!C34)</f>
        <v/>
      </c>
      <c r="D313" s="13" t="str">
        <f>IF(C313="","",Plan!D34)</f>
        <v/>
      </c>
      <c r="E313" s="33" t="str">
        <f>IF(OR(C313="",Parametry!$G$6=""),"",DATE(Parametry!$G$6,5,1))</f>
        <v/>
      </c>
      <c r="F313" s="34" t="str">
        <f>IF(C313="","",Plan!O34)</f>
        <v/>
      </c>
      <c r="G313" s="34" t="str">
        <f>IF(C313="","",SUMIFS(ERP!$I$9:$I$1008,ERP!$L$9:$L$1008,C313,ERP!$N$9:$N$1008,1,ERP!$M$9:$M$1008,5))</f>
        <v/>
      </c>
      <c r="H313" s="34" t="str">
        <f>IF(C313="","",IF(5&lt;=Parametry!$G$7,0,SUMIFS(Umowy!$N$9:$N$108,Umowy!$D$9:$D$108,C313,Umowy!$O$9:$O$108,5)))</f>
        <v/>
      </c>
      <c r="I313" s="34" t="str">
        <f>IF(C313="","",IF(5&lt;=Parametry!$G$7,0,IF(COUNTIFS(Prognoza!$C$9:$C$38,C313)=1,IF(ISBLANK(INDEX(Prognoza!$K$9:$V$38,MATCH($C313,Prognoza!$C$9:$C$38,0),5)),"",IF(ISNUMBER(INDEX(Prognoza!$K$9:$V$38,MATCH($C313,Prognoza!$C$9:$C$38,0),5)),INDEX(Prognoza!$K$9:$V$38,MATCH($C313,Prognoza!$C$9:$C$38,0),5),"")),"")))</f>
        <v/>
      </c>
      <c r="J313" s="35" t="str">
        <f>IF(C313="","",IF(Plan!F34="Run",IF(ISNUMBER(INDEX(Parametry!$H$18:$S$18,1,5)),INDEX(Parametry!$H$18:$S$18,1,5),""),IF(ISNUMBER(INDEX(Parametry!$H$24:$S$24,1,5)),INDEX(Parametry!$H$24:$S$24,1,5),"")))</f>
        <v/>
      </c>
      <c r="K313" s="34" t="str">
        <f>IF(C313="","",IF(5&lt;=Parametry!$G$7,0,IF(AND(ISNUMBER(I313),ISNUMBER(J313),J313&gt;=-1),I313*(1+J313),"")))</f>
        <v/>
      </c>
      <c r="L313" s="34" t="str">
        <f>IF(C313="","",IF(5&lt;=Parametry!$G$7,G313,IF(ISNUMBER(K313),H313+K313,"")))</f>
        <v/>
      </c>
      <c r="M313" s="22" t="str">
        <f t="shared" si="8"/>
        <v/>
      </c>
      <c r="N313" s="7">
        <f t="shared" si="9"/>
        <v>0</v>
      </c>
      <c r="O313" s="7"/>
      <c r="P313" s="7"/>
    </row>
    <row r="314" spans="1:16" ht="24" customHeight="1">
      <c r="A314" s="7"/>
      <c r="B314" s="7"/>
      <c r="C314" s="13" t="str">
        <f>IF(Plan!C34="","",Plan!C34)</f>
        <v/>
      </c>
      <c r="D314" s="13" t="str">
        <f>IF(C314="","",Plan!D34)</f>
        <v/>
      </c>
      <c r="E314" s="33" t="str">
        <f>IF(OR(C314="",Parametry!$G$6=""),"",DATE(Parametry!$G$6,6,1))</f>
        <v/>
      </c>
      <c r="F314" s="34" t="str">
        <f>IF(C314="","",Plan!P34)</f>
        <v/>
      </c>
      <c r="G314" s="34" t="str">
        <f>IF(C314="","",SUMIFS(ERP!$I$9:$I$1008,ERP!$L$9:$L$1008,C314,ERP!$N$9:$N$1008,1,ERP!$M$9:$M$1008,6))</f>
        <v/>
      </c>
      <c r="H314" s="34" t="str">
        <f>IF(C314="","",IF(6&lt;=Parametry!$G$7,0,SUMIFS(Umowy!$N$9:$N$108,Umowy!$D$9:$D$108,C314,Umowy!$O$9:$O$108,6)))</f>
        <v/>
      </c>
      <c r="I314" s="34" t="str">
        <f>IF(C314="","",IF(6&lt;=Parametry!$G$7,0,IF(COUNTIFS(Prognoza!$C$9:$C$38,C314)=1,IF(ISBLANK(INDEX(Prognoza!$K$9:$V$38,MATCH($C314,Prognoza!$C$9:$C$38,0),6)),"",IF(ISNUMBER(INDEX(Prognoza!$K$9:$V$38,MATCH($C314,Prognoza!$C$9:$C$38,0),6)),INDEX(Prognoza!$K$9:$V$38,MATCH($C314,Prognoza!$C$9:$C$38,0),6),"")),"")))</f>
        <v/>
      </c>
      <c r="J314" s="35" t="str">
        <f>IF(C314="","",IF(Plan!F34="Run",IF(ISNUMBER(INDEX(Parametry!$H$18:$S$18,1,6)),INDEX(Parametry!$H$18:$S$18,1,6),""),IF(ISNUMBER(INDEX(Parametry!$H$24:$S$24,1,6)),INDEX(Parametry!$H$24:$S$24,1,6),"")))</f>
        <v/>
      </c>
      <c r="K314" s="34" t="str">
        <f>IF(C314="","",IF(6&lt;=Parametry!$G$7,0,IF(AND(ISNUMBER(I314),ISNUMBER(J314),J314&gt;=-1),I314*(1+J314),"")))</f>
        <v/>
      </c>
      <c r="L314" s="34" t="str">
        <f>IF(C314="","",IF(6&lt;=Parametry!$G$7,G314,IF(ISNUMBER(K314),H314+K314,"")))</f>
        <v/>
      </c>
      <c r="M314" s="22" t="str">
        <f t="shared" si="8"/>
        <v/>
      </c>
      <c r="N314" s="7">
        <f t="shared" si="9"/>
        <v>0</v>
      </c>
      <c r="O314" s="7"/>
      <c r="P314" s="7"/>
    </row>
    <row r="315" spans="1:16" ht="24" customHeight="1">
      <c r="A315" s="7"/>
      <c r="B315" s="7"/>
      <c r="C315" s="13" t="str">
        <f>IF(Plan!C34="","",Plan!C34)</f>
        <v/>
      </c>
      <c r="D315" s="13" t="str">
        <f>IF(C315="","",Plan!D34)</f>
        <v/>
      </c>
      <c r="E315" s="33" t="str">
        <f>IF(OR(C315="",Parametry!$G$6=""),"",DATE(Parametry!$G$6,7,1))</f>
        <v/>
      </c>
      <c r="F315" s="34" t="str">
        <f>IF(C315="","",Plan!Q34)</f>
        <v/>
      </c>
      <c r="G315" s="34" t="str">
        <f>IF(C315="","",SUMIFS(ERP!$I$9:$I$1008,ERP!$L$9:$L$1008,C315,ERP!$N$9:$N$1008,1,ERP!$M$9:$M$1008,7))</f>
        <v/>
      </c>
      <c r="H315" s="34" t="str">
        <f>IF(C315="","",IF(7&lt;=Parametry!$G$7,0,SUMIFS(Umowy!$N$9:$N$108,Umowy!$D$9:$D$108,C315,Umowy!$O$9:$O$108,7)))</f>
        <v/>
      </c>
      <c r="I315" s="34" t="str">
        <f>IF(C315="","",IF(7&lt;=Parametry!$G$7,0,IF(COUNTIFS(Prognoza!$C$9:$C$38,C315)=1,IF(ISBLANK(INDEX(Prognoza!$K$9:$V$38,MATCH($C315,Prognoza!$C$9:$C$38,0),7)),"",IF(ISNUMBER(INDEX(Prognoza!$K$9:$V$38,MATCH($C315,Prognoza!$C$9:$C$38,0),7)),INDEX(Prognoza!$K$9:$V$38,MATCH($C315,Prognoza!$C$9:$C$38,0),7),"")),"")))</f>
        <v/>
      </c>
      <c r="J315" s="35" t="str">
        <f>IF(C315="","",IF(Plan!F34="Run",IF(ISNUMBER(INDEX(Parametry!$H$18:$S$18,1,7)),INDEX(Parametry!$H$18:$S$18,1,7),""),IF(ISNUMBER(INDEX(Parametry!$H$24:$S$24,1,7)),INDEX(Parametry!$H$24:$S$24,1,7),"")))</f>
        <v/>
      </c>
      <c r="K315" s="34" t="str">
        <f>IF(C315="","",IF(7&lt;=Parametry!$G$7,0,IF(AND(ISNUMBER(I315),ISNUMBER(J315),J315&gt;=-1),I315*(1+J315),"")))</f>
        <v/>
      </c>
      <c r="L315" s="34" t="str">
        <f>IF(C315="","",IF(7&lt;=Parametry!$G$7,G315,IF(ISNUMBER(K315),H315+K315,"")))</f>
        <v/>
      </c>
      <c r="M315" s="22" t="str">
        <f t="shared" si="8"/>
        <v/>
      </c>
      <c r="N315" s="7">
        <f t="shared" si="9"/>
        <v>0</v>
      </c>
      <c r="O315" s="7"/>
      <c r="P315" s="7"/>
    </row>
    <row r="316" spans="1:16" ht="24" customHeight="1">
      <c r="A316" s="7"/>
      <c r="B316" s="7"/>
      <c r="C316" s="13" t="str">
        <f>IF(Plan!C34="","",Plan!C34)</f>
        <v/>
      </c>
      <c r="D316" s="13" t="str">
        <f>IF(C316="","",Plan!D34)</f>
        <v/>
      </c>
      <c r="E316" s="33" t="str">
        <f>IF(OR(C316="",Parametry!$G$6=""),"",DATE(Parametry!$G$6,8,1))</f>
        <v/>
      </c>
      <c r="F316" s="34" t="str">
        <f>IF(C316="","",Plan!R34)</f>
        <v/>
      </c>
      <c r="G316" s="34" t="str">
        <f>IF(C316="","",SUMIFS(ERP!$I$9:$I$1008,ERP!$L$9:$L$1008,C316,ERP!$N$9:$N$1008,1,ERP!$M$9:$M$1008,8))</f>
        <v/>
      </c>
      <c r="H316" s="34" t="str">
        <f>IF(C316="","",IF(8&lt;=Parametry!$G$7,0,SUMIFS(Umowy!$N$9:$N$108,Umowy!$D$9:$D$108,C316,Umowy!$O$9:$O$108,8)))</f>
        <v/>
      </c>
      <c r="I316" s="34" t="str">
        <f>IF(C316="","",IF(8&lt;=Parametry!$G$7,0,IF(COUNTIFS(Prognoza!$C$9:$C$38,C316)=1,IF(ISBLANK(INDEX(Prognoza!$K$9:$V$38,MATCH($C316,Prognoza!$C$9:$C$38,0),8)),"",IF(ISNUMBER(INDEX(Prognoza!$K$9:$V$38,MATCH($C316,Prognoza!$C$9:$C$38,0),8)),INDEX(Prognoza!$K$9:$V$38,MATCH($C316,Prognoza!$C$9:$C$38,0),8),"")),"")))</f>
        <v/>
      </c>
      <c r="J316" s="35" t="str">
        <f>IF(C316="","",IF(Plan!F34="Run",IF(ISNUMBER(INDEX(Parametry!$H$18:$S$18,1,8)),INDEX(Parametry!$H$18:$S$18,1,8),""),IF(ISNUMBER(INDEX(Parametry!$H$24:$S$24,1,8)),INDEX(Parametry!$H$24:$S$24,1,8),"")))</f>
        <v/>
      </c>
      <c r="K316" s="34" t="str">
        <f>IF(C316="","",IF(8&lt;=Parametry!$G$7,0,IF(AND(ISNUMBER(I316),ISNUMBER(J316),J316&gt;=-1),I316*(1+J316),"")))</f>
        <v/>
      </c>
      <c r="L316" s="34" t="str">
        <f>IF(C316="","",IF(8&lt;=Parametry!$G$7,G316,IF(ISNUMBER(K316),H316+K316,"")))</f>
        <v/>
      </c>
      <c r="M316" s="22" t="str">
        <f t="shared" si="8"/>
        <v/>
      </c>
      <c r="N316" s="7">
        <f t="shared" si="9"/>
        <v>0</v>
      </c>
      <c r="O316" s="7"/>
      <c r="P316" s="7"/>
    </row>
    <row r="317" spans="1:16" ht="24" customHeight="1">
      <c r="A317" s="7"/>
      <c r="B317" s="7"/>
      <c r="C317" s="13" t="str">
        <f>IF(Plan!C34="","",Plan!C34)</f>
        <v/>
      </c>
      <c r="D317" s="13" t="str">
        <f>IF(C317="","",Plan!D34)</f>
        <v/>
      </c>
      <c r="E317" s="33" t="str">
        <f>IF(OR(C317="",Parametry!$G$6=""),"",DATE(Parametry!$G$6,9,1))</f>
        <v/>
      </c>
      <c r="F317" s="34" t="str">
        <f>IF(C317="","",Plan!S34)</f>
        <v/>
      </c>
      <c r="G317" s="34" t="str">
        <f>IF(C317="","",SUMIFS(ERP!$I$9:$I$1008,ERP!$L$9:$L$1008,C317,ERP!$N$9:$N$1008,1,ERP!$M$9:$M$1008,9))</f>
        <v/>
      </c>
      <c r="H317" s="34" t="str">
        <f>IF(C317="","",IF(9&lt;=Parametry!$G$7,0,SUMIFS(Umowy!$N$9:$N$108,Umowy!$D$9:$D$108,C317,Umowy!$O$9:$O$108,9)))</f>
        <v/>
      </c>
      <c r="I317" s="34" t="str">
        <f>IF(C317="","",IF(9&lt;=Parametry!$G$7,0,IF(COUNTIFS(Prognoza!$C$9:$C$38,C317)=1,IF(ISBLANK(INDEX(Prognoza!$K$9:$V$38,MATCH($C317,Prognoza!$C$9:$C$38,0),9)),"",IF(ISNUMBER(INDEX(Prognoza!$K$9:$V$38,MATCH($C317,Prognoza!$C$9:$C$38,0),9)),INDEX(Prognoza!$K$9:$V$38,MATCH($C317,Prognoza!$C$9:$C$38,0),9),"")),"")))</f>
        <v/>
      </c>
      <c r="J317" s="35" t="str">
        <f>IF(C317="","",IF(Plan!F34="Run",IF(ISNUMBER(INDEX(Parametry!$H$18:$S$18,1,9)),INDEX(Parametry!$H$18:$S$18,1,9),""),IF(ISNUMBER(INDEX(Parametry!$H$24:$S$24,1,9)),INDEX(Parametry!$H$24:$S$24,1,9),"")))</f>
        <v/>
      </c>
      <c r="K317" s="34" t="str">
        <f>IF(C317="","",IF(9&lt;=Parametry!$G$7,0,IF(AND(ISNUMBER(I317),ISNUMBER(J317),J317&gt;=-1),I317*(1+J317),"")))</f>
        <v/>
      </c>
      <c r="L317" s="34" t="str">
        <f>IF(C317="","",IF(9&lt;=Parametry!$G$7,G317,IF(ISNUMBER(K317),H317+K317,"")))</f>
        <v/>
      </c>
      <c r="M317" s="22" t="str">
        <f t="shared" si="8"/>
        <v/>
      </c>
      <c r="N317" s="7">
        <f t="shared" si="9"/>
        <v>0</v>
      </c>
      <c r="O317" s="7"/>
      <c r="P317" s="7"/>
    </row>
    <row r="318" spans="1:16" ht="24" customHeight="1">
      <c r="A318" s="7"/>
      <c r="B318" s="7"/>
      <c r="C318" s="13" t="str">
        <f>IF(Plan!C34="","",Plan!C34)</f>
        <v/>
      </c>
      <c r="D318" s="13" t="str">
        <f>IF(C318="","",Plan!D34)</f>
        <v/>
      </c>
      <c r="E318" s="33" t="str">
        <f>IF(OR(C318="",Parametry!$G$6=""),"",DATE(Parametry!$G$6,10,1))</f>
        <v/>
      </c>
      <c r="F318" s="34" t="str">
        <f>IF(C318="","",Plan!T34)</f>
        <v/>
      </c>
      <c r="G318" s="34" t="str">
        <f>IF(C318="","",SUMIFS(ERP!$I$9:$I$1008,ERP!$L$9:$L$1008,C318,ERP!$N$9:$N$1008,1,ERP!$M$9:$M$1008,10))</f>
        <v/>
      </c>
      <c r="H318" s="34" t="str">
        <f>IF(C318="","",IF(10&lt;=Parametry!$G$7,0,SUMIFS(Umowy!$N$9:$N$108,Umowy!$D$9:$D$108,C318,Umowy!$O$9:$O$108,10)))</f>
        <v/>
      </c>
      <c r="I318" s="34" t="str">
        <f>IF(C318="","",IF(10&lt;=Parametry!$G$7,0,IF(COUNTIFS(Prognoza!$C$9:$C$38,C318)=1,IF(ISBLANK(INDEX(Prognoza!$K$9:$V$38,MATCH($C318,Prognoza!$C$9:$C$38,0),10)),"",IF(ISNUMBER(INDEX(Prognoza!$K$9:$V$38,MATCH($C318,Prognoza!$C$9:$C$38,0),10)),INDEX(Prognoza!$K$9:$V$38,MATCH($C318,Prognoza!$C$9:$C$38,0),10),"")),"")))</f>
        <v/>
      </c>
      <c r="J318" s="35" t="str">
        <f>IF(C318="","",IF(Plan!F34="Run",IF(ISNUMBER(INDEX(Parametry!$H$18:$S$18,1,10)),INDEX(Parametry!$H$18:$S$18,1,10),""),IF(ISNUMBER(INDEX(Parametry!$H$24:$S$24,1,10)),INDEX(Parametry!$H$24:$S$24,1,10),"")))</f>
        <v/>
      </c>
      <c r="K318" s="34" t="str">
        <f>IF(C318="","",IF(10&lt;=Parametry!$G$7,0,IF(AND(ISNUMBER(I318),ISNUMBER(J318),J318&gt;=-1),I318*(1+J318),"")))</f>
        <v/>
      </c>
      <c r="L318" s="34" t="str">
        <f>IF(C318="","",IF(10&lt;=Parametry!$G$7,G318,IF(ISNUMBER(K318),H318+K318,"")))</f>
        <v/>
      </c>
      <c r="M318" s="22" t="str">
        <f t="shared" si="8"/>
        <v/>
      </c>
      <c r="N318" s="7">
        <f t="shared" si="9"/>
        <v>0</v>
      </c>
      <c r="O318" s="7"/>
      <c r="P318" s="7"/>
    </row>
    <row r="319" spans="1:16" ht="24" customHeight="1">
      <c r="A319" s="7"/>
      <c r="B319" s="7"/>
      <c r="C319" s="13" t="str">
        <f>IF(Plan!C34="","",Plan!C34)</f>
        <v/>
      </c>
      <c r="D319" s="13" t="str">
        <f>IF(C319="","",Plan!D34)</f>
        <v/>
      </c>
      <c r="E319" s="33" t="str">
        <f>IF(OR(C319="",Parametry!$G$6=""),"",DATE(Parametry!$G$6,11,1))</f>
        <v/>
      </c>
      <c r="F319" s="34" t="str">
        <f>IF(C319="","",Plan!U34)</f>
        <v/>
      </c>
      <c r="G319" s="34" t="str">
        <f>IF(C319="","",SUMIFS(ERP!$I$9:$I$1008,ERP!$L$9:$L$1008,C319,ERP!$N$9:$N$1008,1,ERP!$M$9:$M$1008,11))</f>
        <v/>
      </c>
      <c r="H319" s="34" t="str">
        <f>IF(C319="","",IF(11&lt;=Parametry!$G$7,0,SUMIFS(Umowy!$N$9:$N$108,Umowy!$D$9:$D$108,C319,Umowy!$O$9:$O$108,11)))</f>
        <v/>
      </c>
      <c r="I319" s="34" t="str">
        <f>IF(C319="","",IF(11&lt;=Parametry!$G$7,0,IF(COUNTIFS(Prognoza!$C$9:$C$38,C319)=1,IF(ISBLANK(INDEX(Prognoza!$K$9:$V$38,MATCH($C319,Prognoza!$C$9:$C$38,0),11)),"",IF(ISNUMBER(INDEX(Prognoza!$K$9:$V$38,MATCH($C319,Prognoza!$C$9:$C$38,0),11)),INDEX(Prognoza!$K$9:$V$38,MATCH($C319,Prognoza!$C$9:$C$38,0),11),"")),"")))</f>
        <v/>
      </c>
      <c r="J319" s="35" t="str">
        <f>IF(C319="","",IF(Plan!F34="Run",IF(ISNUMBER(INDEX(Parametry!$H$18:$S$18,1,11)),INDEX(Parametry!$H$18:$S$18,1,11),""),IF(ISNUMBER(INDEX(Parametry!$H$24:$S$24,1,11)),INDEX(Parametry!$H$24:$S$24,1,11),"")))</f>
        <v/>
      </c>
      <c r="K319" s="34" t="str">
        <f>IF(C319="","",IF(11&lt;=Parametry!$G$7,0,IF(AND(ISNUMBER(I319),ISNUMBER(J319),J319&gt;=-1),I319*(1+J319),"")))</f>
        <v/>
      </c>
      <c r="L319" s="34" t="str">
        <f>IF(C319="","",IF(11&lt;=Parametry!$G$7,G319,IF(ISNUMBER(K319),H319+K319,"")))</f>
        <v/>
      </c>
      <c r="M319" s="22" t="str">
        <f t="shared" si="8"/>
        <v/>
      </c>
      <c r="N319" s="7">
        <f t="shared" si="9"/>
        <v>0</v>
      </c>
      <c r="O319" s="7"/>
      <c r="P319" s="7"/>
    </row>
    <row r="320" spans="1:16" ht="24" customHeight="1">
      <c r="A320" s="7"/>
      <c r="B320" s="7"/>
      <c r="C320" s="13" t="str">
        <f>IF(Plan!C34="","",Plan!C34)</f>
        <v/>
      </c>
      <c r="D320" s="13" t="str">
        <f>IF(C320="","",Plan!D34)</f>
        <v/>
      </c>
      <c r="E320" s="33" t="str">
        <f>IF(OR(C320="",Parametry!$G$6=""),"",DATE(Parametry!$G$6,12,1))</f>
        <v/>
      </c>
      <c r="F320" s="34" t="str">
        <f>IF(C320="","",Plan!V34)</f>
        <v/>
      </c>
      <c r="G320" s="34" t="str">
        <f>IF(C320="","",SUMIFS(ERP!$I$9:$I$1008,ERP!$L$9:$L$1008,C320,ERP!$N$9:$N$1008,1,ERP!$M$9:$M$1008,12))</f>
        <v/>
      </c>
      <c r="H320" s="34" t="str">
        <f>IF(C320="","",IF(12&lt;=Parametry!$G$7,0,SUMIFS(Umowy!$N$9:$N$108,Umowy!$D$9:$D$108,C320,Umowy!$O$9:$O$108,12)))</f>
        <v/>
      </c>
      <c r="I320" s="34" t="str">
        <f>IF(C320="","",IF(12&lt;=Parametry!$G$7,0,IF(COUNTIFS(Prognoza!$C$9:$C$38,C320)=1,IF(ISBLANK(INDEX(Prognoza!$K$9:$V$38,MATCH($C320,Prognoza!$C$9:$C$38,0),12)),"",IF(ISNUMBER(INDEX(Prognoza!$K$9:$V$38,MATCH($C320,Prognoza!$C$9:$C$38,0),12)),INDEX(Prognoza!$K$9:$V$38,MATCH($C320,Prognoza!$C$9:$C$38,0),12),"")),"")))</f>
        <v/>
      </c>
      <c r="J320" s="35" t="str">
        <f>IF(C320="","",IF(Plan!F34="Run",IF(ISNUMBER(INDEX(Parametry!$H$18:$S$18,1,12)),INDEX(Parametry!$H$18:$S$18,1,12),""),IF(ISNUMBER(INDEX(Parametry!$H$24:$S$24,1,12)),INDEX(Parametry!$H$24:$S$24,1,12),"")))</f>
        <v/>
      </c>
      <c r="K320" s="34" t="str">
        <f>IF(C320="","",IF(12&lt;=Parametry!$G$7,0,IF(AND(ISNUMBER(I320),ISNUMBER(J320),J320&gt;=-1),I320*(1+J320),"")))</f>
        <v/>
      </c>
      <c r="L320" s="34" t="str">
        <f>IF(C320="","",IF(12&lt;=Parametry!$G$7,G320,IF(ISNUMBER(K320),H320+K320,"")))</f>
        <v/>
      </c>
      <c r="M320" s="22" t="str">
        <f t="shared" si="8"/>
        <v/>
      </c>
      <c r="N320" s="7">
        <f t="shared" si="9"/>
        <v>0</v>
      </c>
      <c r="O320" s="7"/>
      <c r="P320" s="7"/>
    </row>
    <row r="321" spans="1:16" ht="24" customHeight="1">
      <c r="A321" s="7"/>
      <c r="B321" s="7"/>
      <c r="C321" s="13" t="str">
        <f>IF(Plan!C35="","",Plan!C35)</f>
        <v/>
      </c>
      <c r="D321" s="13" t="str">
        <f>IF(C321="","",Plan!D35)</f>
        <v/>
      </c>
      <c r="E321" s="33" t="str">
        <f>IF(OR(C321="",Parametry!$G$6=""),"",DATE(Parametry!$G$6,1,1))</f>
        <v/>
      </c>
      <c r="F321" s="34" t="str">
        <f>IF(C321="","",Plan!K35)</f>
        <v/>
      </c>
      <c r="G321" s="34" t="str">
        <f>IF(C321="","",SUMIFS(ERP!$I$9:$I$1008,ERP!$L$9:$L$1008,C321,ERP!$N$9:$N$1008,1,ERP!$M$9:$M$1008,1))</f>
        <v/>
      </c>
      <c r="H321" s="34" t="str">
        <f>IF(C321="","",IF(1&lt;=Parametry!$G$7,0,SUMIFS(Umowy!$N$9:$N$108,Umowy!$D$9:$D$108,C321,Umowy!$O$9:$O$108,1)))</f>
        <v/>
      </c>
      <c r="I321" s="34" t="str">
        <f>IF(C321="","",IF(1&lt;=Parametry!$G$7,0,IF(COUNTIFS(Prognoza!$C$9:$C$38,C321)=1,IF(ISBLANK(INDEX(Prognoza!$K$9:$V$38,MATCH($C321,Prognoza!$C$9:$C$38,0),1)),"",IF(ISNUMBER(INDEX(Prognoza!$K$9:$V$38,MATCH($C321,Prognoza!$C$9:$C$38,0),1)),INDEX(Prognoza!$K$9:$V$38,MATCH($C321,Prognoza!$C$9:$C$38,0),1),"")),"")))</f>
        <v/>
      </c>
      <c r="J321" s="35" t="str">
        <f>IF(C321="","",IF(Plan!F35="Run",IF(ISNUMBER(INDEX(Parametry!$H$18:$S$18,1,1)),INDEX(Parametry!$H$18:$S$18,1,1),""),IF(ISNUMBER(INDEX(Parametry!$H$24:$S$24,1,1)),INDEX(Parametry!$H$24:$S$24,1,1),"")))</f>
        <v/>
      </c>
      <c r="K321" s="34" t="str">
        <f>IF(C321="","",IF(1&lt;=Parametry!$G$7,0,IF(AND(ISNUMBER(I321),ISNUMBER(J321),J321&gt;=-1),I321*(1+J321),"")))</f>
        <v/>
      </c>
      <c r="L321" s="34" t="str">
        <f>IF(C321="","",IF(1&lt;=Parametry!$G$7,G321,IF(ISNUMBER(K321),H321+K321,"")))</f>
        <v/>
      </c>
      <c r="M321" s="22" t="str">
        <f t="shared" si="8"/>
        <v/>
      </c>
      <c r="N321" s="7">
        <f t="shared" si="9"/>
        <v>0</v>
      </c>
      <c r="O321" s="7"/>
      <c r="P321" s="7"/>
    </row>
    <row r="322" spans="1:16" ht="24" customHeight="1">
      <c r="A322" s="7"/>
      <c r="B322" s="7"/>
      <c r="C322" s="13" t="str">
        <f>IF(Plan!C35="","",Plan!C35)</f>
        <v/>
      </c>
      <c r="D322" s="13" t="str">
        <f>IF(C322="","",Plan!D35)</f>
        <v/>
      </c>
      <c r="E322" s="33" t="str">
        <f>IF(OR(C322="",Parametry!$G$6=""),"",DATE(Parametry!$G$6,2,1))</f>
        <v/>
      </c>
      <c r="F322" s="34" t="str">
        <f>IF(C322="","",Plan!L35)</f>
        <v/>
      </c>
      <c r="G322" s="34" t="str">
        <f>IF(C322="","",SUMIFS(ERP!$I$9:$I$1008,ERP!$L$9:$L$1008,C322,ERP!$N$9:$N$1008,1,ERP!$M$9:$M$1008,2))</f>
        <v/>
      </c>
      <c r="H322" s="34" t="str">
        <f>IF(C322="","",IF(2&lt;=Parametry!$G$7,0,SUMIFS(Umowy!$N$9:$N$108,Umowy!$D$9:$D$108,C322,Umowy!$O$9:$O$108,2)))</f>
        <v/>
      </c>
      <c r="I322" s="34" t="str">
        <f>IF(C322="","",IF(2&lt;=Parametry!$G$7,0,IF(COUNTIFS(Prognoza!$C$9:$C$38,C322)=1,IF(ISBLANK(INDEX(Prognoza!$K$9:$V$38,MATCH($C322,Prognoza!$C$9:$C$38,0),2)),"",IF(ISNUMBER(INDEX(Prognoza!$K$9:$V$38,MATCH($C322,Prognoza!$C$9:$C$38,0),2)),INDEX(Prognoza!$K$9:$V$38,MATCH($C322,Prognoza!$C$9:$C$38,0),2),"")),"")))</f>
        <v/>
      </c>
      <c r="J322" s="35" t="str">
        <f>IF(C322="","",IF(Plan!F35="Run",IF(ISNUMBER(INDEX(Parametry!$H$18:$S$18,1,2)),INDEX(Parametry!$H$18:$S$18,1,2),""),IF(ISNUMBER(INDEX(Parametry!$H$24:$S$24,1,2)),INDEX(Parametry!$H$24:$S$24,1,2),"")))</f>
        <v/>
      </c>
      <c r="K322" s="34" t="str">
        <f>IF(C322="","",IF(2&lt;=Parametry!$G$7,0,IF(AND(ISNUMBER(I322),ISNUMBER(J322),J322&gt;=-1),I322*(1+J322),"")))</f>
        <v/>
      </c>
      <c r="L322" s="34" t="str">
        <f>IF(C322="","",IF(2&lt;=Parametry!$G$7,G322,IF(ISNUMBER(K322),H322+K322,"")))</f>
        <v/>
      </c>
      <c r="M322" s="22" t="str">
        <f t="shared" si="8"/>
        <v/>
      </c>
      <c r="N322" s="7">
        <f t="shared" si="9"/>
        <v>0</v>
      </c>
      <c r="O322" s="7"/>
      <c r="P322" s="7"/>
    </row>
    <row r="323" spans="1:16" ht="24" customHeight="1">
      <c r="A323" s="7"/>
      <c r="B323" s="7"/>
      <c r="C323" s="13" t="str">
        <f>IF(Plan!C35="","",Plan!C35)</f>
        <v/>
      </c>
      <c r="D323" s="13" t="str">
        <f>IF(C323="","",Plan!D35)</f>
        <v/>
      </c>
      <c r="E323" s="33" t="str">
        <f>IF(OR(C323="",Parametry!$G$6=""),"",DATE(Parametry!$G$6,3,1))</f>
        <v/>
      </c>
      <c r="F323" s="34" t="str">
        <f>IF(C323="","",Plan!M35)</f>
        <v/>
      </c>
      <c r="G323" s="34" t="str">
        <f>IF(C323="","",SUMIFS(ERP!$I$9:$I$1008,ERP!$L$9:$L$1008,C323,ERP!$N$9:$N$1008,1,ERP!$M$9:$M$1008,3))</f>
        <v/>
      </c>
      <c r="H323" s="34" t="str">
        <f>IF(C323="","",IF(3&lt;=Parametry!$G$7,0,SUMIFS(Umowy!$N$9:$N$108,Umowy!$D$9:$D$108,C323,Umowy!$O$9:$O$108,3)))</f>
        <v/>
      </c>
      <c r="I323" s="34" t="str">
        <f>IF(C323="","",IF(3&lt;=Parametry!$G$7,0,IF(COUNTIFS(Prognoza!$C$9:$C$38,C323)=1,IF(ISBLANK(INDEX(Prognoza!$K$9:$V$38,MATCH($C323,Prognoza!$C$9:$C$38,0),3)),"",IF(ISNUMBER(INDEX(Prognoza!$K$9:$V$38,MATCH($C323,Prognoza!$C$9:$C$38,0),3)),INDEX(Prognoza!$K$9:$V$38,MATCH($C323,Prognoza!$C$9:$C$38,0),3),"")),"")))</f>
        <v/>
      </c>
      <c r="J323" s="35" t="str">
        <f>IF(C323="","",IF(Plan!F35="Run",IF(ISNUMBER(INDEX(Parametry!$H$18:$S$18,1,3)),INDEX(Parametry!$H$18:$S$18,1,3),""),IF(ISNUMBER(INDEX(Parametry!$H$24:$S$24,1,3)),INDEX(Parametry!$H$24:$S$24,1,3),"")))</f>
        <v/>
      </c>
      <c r="K323" s="34" t="str">
        <f>IF(C323="","",IF(3&lt;=Parametry!$G$7,0,IF(AND(ISNUMBER(I323),ISNUMBER(J323),J323&gt;=-1),I323*(1+J323),"")))</f>
        <v/>
      </c>
      <c r="L323" s="34" t="str">
        <f>IF(C323="","",IF(3&lt;=Parametry!$G$7,G323,IF(ISNUMBER(K323),H323+K323,"")))</f>
        <v/>
      </c>
      <c r="M323" s="22" t="str">
        <f t="shared" si="8"/>
        <v/>
      </c>
      <c r="N323" s="7">
        <f t="shared" si="9"/>
        <v>0</v>
      </c>
      <c r="O323" s="7"/>
      <c r="P323" s="7"/>
    </row>
    <row r="324" spans="1:16" ht="24" customHeight="1">
      <c r="A324" s="7"/>
      <c r="B324" s="7"/>
      <c r="C324" s="13" t="str">
        <f>IF(Plan!C35="","",Plan!C35)</f>
        <v/>
      </c>
      <c r="D324" s="13" t="str">
        <f>IF(C324="","",Plan!D35)</f>
        <v/>
      </c>
      <c r="E324" s="33" t="str">
        <f>IF(OR(C324="",Parametry!$G$6=""),"",DATE(Parametry!$G$6,4,1))</f>
        <v/>
      </c>
      <c r="F324" s="34" t="str">
        <f>IF(C324="","",Plan!N35)</f>
        <v/>
      </c>
      <c r="G324" s="34" t="str">
        <f>IF(C324="","",SUMIFS(ERP!$I$9:$I$1008,ERP!$L$9:$L$1008,C324,ERP!$N$9:$N$1008,1,ERP!$M$9:$M$1008,4))</f>
        <v/>
      </c>
      <c r="H324" s="34" t="str">
        <f>IF(C324="","",IF(4&lt;=Parametry!$G$7,0,SUMIFS(Umowy!$N$9:$N$108,Umowy!$D$9:$D$108,C324,Umowy!$O$9:$O$108,4)))</f>
        <v/>
      </c>
      <c r="I324" s="34" t="str">
        <f>IF(C324="","",IF(4&lt;=Parametry!$G$7,0,IF(COUNTIFS(Prognoza!$C$9:$C$38,C324)=1,IF(ISBLANK(INDEX(Prognoza!$K$9:$V$38,MATCH($C324,Prognoza!$C$9:$C$38,0),4)),"",IF(ISNUMBER(INDEX(Prognoza!$K$9:$V$38,MATCH($C324,Prognoza!$C$9:$C$38,0),4)),INDEX(Prognoza!$K$9:$V$38,MATCH($C324,Prognoza!$C$9:$C$38,0),4),"")),"")))</f>
        <v/>
      </c>
      <c r="J324" s="35" t="str">
        <f>IF(C324="","",IF(Plan!F35="Run",IF(ISNUMBER(INDEX(Parametry!$H$18:$S$18,1,4)),INDEX(Parametry!$H$18:$S$18,1,4),""),IF(ISNUMBER(INDEX(Parametry!$H$24:$S$24,1,4)),INDEX(Parametry!$H$24:$S$24,1,4),"")))</f>
        <v/>
      </c>
      <c r="K324" s="34" t="str">
        <f>IF(C324="","",IF(4&lt;=Parametry!$G$7,0,IF(AND(ISNUMBER(I324),ISNUMBER(J324),J324&gt;=-1),I324*(1+J324),"")))</f>
        <v/>
      </c>
      <c r="L324" s="34" t="str">
        <f>IF(C324="","",IF(4&lt;=Parametry!$G$7,G324,IF(ISNUMBER(K324),H324+K324,"")))</f>
        <v/>
      </c>
      <c r="M324" s="22" t="str">
        <f t="shared" si="8"/>
        <v/>
      </c>
      <c r="N324" s="7">
        <f t="shared" si="9"/>
        <v>0</v>
      </c>
      <c r="O324" s="7"/>
      <c r="P324" s="7"/>
    </row>
    <row r="325" spans="1:16" ht="24" customHeight="1">
      <c r="A325" s="7"/>
      <c r="B325" s="7"/>
      <c r="C325" s="13" t="str">
        <f>IF(Plan!C35="","",Plan!C35)</f>
        <v/>
      </c>
      <c r="D325" s="13" t="str">
        <f>IF(C325="","",Plan!D35)</f>
        <v/>
      </c>
      <c r="E325" s="33" t="str">
        <f>IF(OR(C325="",Parametry!$G$6=""),"",DATE(Parametry!$G$6,5,1))</f>
        <v/>
      </c>
      <c r="F325" s="34" t="str">
        <f>IF(C325="","",Plan!O35)</f>
        <v/>
      </c>
      <c r="G325" s="34" t="str">
        <f>IF(C325="","",SUMIFS(ERP!$I$9:$I$1008,ERP!$L$9:$L$1008,C325,ERP!$N$9:$N$1008,1,ERP!$M$9:$M$1008,5))</f>
        <v/>
      </c>
      <c r="H325" s="34" t="str">
        <f>IF(C325="","",IF(5&lt;=Parametry!$G$7,0,SUMIFS(Umowy!$N$9:$N$108,Umowy!$D$9:$D$108,C325,Umowy!$O$9:$O$108,5)))</f>
        <v/>
      </c>
      <c r="I325" s="34" t="str">
        <f>IF(C325="","",IF(5&lt;=Parametry!$G$7,0,IF(COUNTIFS(Prognoza!$C$9:$C$38,C325)=1,IF(ISBLANK(INDEX(Prognoza!$K$9:$V$38,MATCH($C325,Prognoza!$C$9:$C$38,0),5)),"",IF(ISNUMBER(INDEX(Prognoza!$K$9:$V$38,MATCH($C325,Prognoza!$C$9:$C$38,0),5)),INDEX(Prognoza!$K$9:$V$38,MATCH($C325,Prognoza!$C$9:$C$38,0),5),"")),"")))</f>
        <v/>
      </c>
      <c r="J325" s="35" t="str">
        <f>IF(C325="","",IF(Plan!F35="Run",IF(ISNUMBER(INDEX(Parametry!$H$18:$S$18,1,5)),INDEX(Parametry!$H$18:$S$18,1,5),""),IF(ISNUMBER(INDEX(Parametry!$H$24:$S$24,1,5)),INDEX(Parametry!$H$24:$S$24,1,5),"")))</f>
        <v/>
      </c>
      <c r="K325" s="34" t="str">
        <f>IF(C325="","",IF(5&lt;=Parametry!$G$7,0,IF(AND(ISNUMBER(I325),ISNUMBER(J325),J325&gt;=-1),I325*(1+J325),"")))</f>
        <v/>
      </c>
      <c r="L325" s="34" t="str">
        <f>IF(C325="","",IF(5&lt;=Parametry!$G$7,G325,IF(ISNUMBER(K325),H325+K325,"")))</f>
        <v/>
      </c>
      <c r="M325" s="22" t="str">
        <f t="shared" si="8"/>
        <v/>
      </c>
      <c r="N325" s="7">
        <f t="shared" si="9"/>
        <v>0</v>
      </c>
      <c r="O325" s="7"/>
      <c r="P325" s="7"/>
    </row>
    <row r="326" spans="1:16" ht="24" customHeight="1">
      <c r="A326" s="7"/>
      <c r="B326" s="7"/>
      <c r="C326" s="13" t="str">
        <f>IF(Plan!C35="","",Plan!C35)</f>
        <v/>
      </c>
      <c r="D326" s="13" t="str">
        <f>IF(C326="","",Plan!D35)</f>
        <v/>
      </c>
      <c r="E326" s="33" t="str">
        <f>IF(OR(C326="",Parametry!$G$6=""),"",DATE(Parametry!$G$6,6,1))</f>
        <v/>
      </c>
      <c r="F326" s="34" t="str">
        <f>IF(C326="","",Plan!P35)</f>
        <v/>
      </c>
      <c r="G326" s="34" t="str">
        <f>IF(C326="","",SUMIFS(ERP!$I$9:$I$1008,ERP!$L$9:$L$1008,C326,ERP!$N$9:$N$1008,1,ERP!$M$9:$M$1008,6))</f>
        <v/>
      </c>
      <c r="H326" s="34" t="str">
        <f>IF(C326="","",IF(6&lt;=Parametry!$G$7,0,SUMIFS(Umowy!$N$9:$N$108,Umowy!$D$9:$D$108,C326,Umowy!$O$9:$O$108,6)))</f>
        <v/>
      </c>
      <c r="I326" s="34" t="str">
        <f>IF(C326="","",IF(6&lt;=Parametry!$G$7,0,IF(COUNTIFS(Prognoza!$C$9:$C$38,C326)=1,IF(ISBLANK(INDEX(Prognoza!$K$9:$V$38,MATCH($C326,Prognoza!$C$9:$C$38,0),6)),"",IF(ISNUMBER(INDEX(Prognoza!$K$9:$V$38,MATCH($C326,Prognoza!$C$9:$C$38,0),6)),INDEX(Prognoza!$K$9:$V$38,MATCH($C326,Prognoza!$C$9:$C$38,0),6),"")),"")))</f>
        <v/>
      </c>
      <c r="J326" s="35" t="str">
        <f>IF(C326="","",IF(Plan!F35="Run",IF(ISNUMBER(INDEX(Parametry!$H$18:$S$18,1,6)),INDEX(Parametry!$H$18:$S$18,1,6),""),IF(ISNUMBER(INDEX(Parametry!$H$24:$S$24,1,6)),INDEX(Parametry!$H$24:$S$24,1,6),"")))</f>
        <v/>
      </c>
      <c r="K326" s="34" t="str">
        <f>IF(C326="","",IF(6&lt;=Parametry!$G$7,0,IF(AND(ISNUMBER(I326),ISNUMBER(J326),J326&gt;=-1),I326*(1+J326),"")))</f>
        <v/>
      </c>
      <c r="L326" s="34" t="str">
        <f>IF(C326="","",IF(6&lt;=Parametry!$G$7,G326,IF(ISNUMBER(K326),H326+K326,"")))</f>
        <v/>
      </c>
      <c r="M326" s="22" t="str">
        <f t="shared" si="8"/>
        <v/>
      </c>
      <c r="N326" s="7">
        <f t="shared" si="9"/>
        <v>0</v>
      </c>
      <c r="O326" s="7"/>
      <c r="P326" s="7"/>
    </row>
    <row r="327" spans="1:16" ht="24" customHeight="1">
      <c r="A327" s="7"/>
      <c r="B327" s="7"/>
      <c r="C327" s="13" t="str">
        <f>IF(Plan!C35="","",Plan!C35)</f>
        <v/>
      </c>
      <c r="D327" s="13" t="str">
        <f>IF(C327="","",Plan!D35)</f>
        <v/>
      </c>
      <c r="E327" s="33" t="str">
        <f>IF(OR(C327="",Parametry!$G$6=""),"",DATE(Parametry!$G$6,7,1))</f>
        <v/>
      </c>
      <c r="F327" s="34" t="str">
        <f>IF(C327="","",Plan!Q35)</f>
        <v/>
      </c>
      <c r="G327" s="34" t="str">
        <f>IF(C327="","",SUMIFS(ERP!$I$9:$I$1008,ERP!$L$9:$L$1008,C327,ERP!$N$9:$N$1008,1,ERP!$M$9:$M$1008,7))</f>
        <v/>
      </c>
      <c r="H327" s="34" t="str">
        <f>IF(C327="","",IF(7&lt;=Parametry!$G$7,0,SUMIFS(Umowy!$N$9:$N$108,Umowy!$D$9:$D$108,C327,Umowy!$O$9:$O$108,7)))</f>
        <v/>
      </c>
      <c r="I327" s="34" t="str">
        <f>IF(C327="","",IF(7&lt;=Parametry!$G$7,0,IF(COUNTIFS(Prognoza!$C$9:$C$38,C327)=1,IF(ISBLANK(INDEX(Prognoza!$K$9:$V$38,MATCH($C327,Prognoza!$C$9:$C$38,0),7)),"",IF(ISNUMBER(INDEX(Prognoza!$K$9:$V$38,MATCH($C327,Prognoza!$C$9:$C$38,0),7)),INDEX(Prognoza!$K$9:$V$38,MATCH($C327,Prognoza!$C$9:$C$38,0),7),"")),"")))</f>
        <v/>
      </c>
      <c r="J327" s="35" t="str">
        <f>IF(C327="","",IF(Plan!F35="Run",IF(ISNUMBER(INDEX(Parametry!$H$18:$S$18,1,7)),INDEX(Parametry!$H$18:$S$18,1,7),""),IF(ISNUMBER(INDEX(Parametry!$H$24:$S$24,1,7)),INDEX(Parametry!$H$24:$S$24,1,7),"")))</f>
        <v/>
      </c>
      <c r="K327" s="34" t="str">
        <f>IF(C327="","",IF(7&lt;=Parametry!$G$7,0,IF(AND(ISNUMBER(I327),ISNUMBER(J327),J327&gt;=-1),I327*(1+J327),"")))</f>
        <v/>
      </c>
      <c r="L327" s="34" t="str">
        <f>IF(C327="","",IF(7&lt;=Parametry!$G$7,G327,IF(ISNUMBER(K327),H327+K327,"")))</f>
        <v/>
      </c>
      <c r="M327" s="22" t="str">
        <f t="shared" si="8"/>
        <v/>
      </c>
      <c r="N327" s="7">
        <f t="shared" si="9"/>
        <v>0</v>
      </c>
      <c r="O327" s="7"/>
      <c r="P327" s="7"/>
    </row>
    <row r="328" spans="1:16" ht="24" customHeight="1">
      <c r="A328" s="7"/>
      <c r="B328" s="7"/>
      <c r="C328" s="13" t="str">
        <f>IF(Plan!C35="","",Plan!C35)</f>
        <v/>
      </c>
      <c r="D328" s="13" t="str">
        <f>IF(C328="","",Plan!D35)</f>
        <v/>
      </c>
      <c r="E328" s="33" t="str">
        <f>IF(OR(C328="",Parametry!$G$6=""),"",DATE(Parametry!$G$6,8,1))</f>
        <v/>
      </c>
      <c r="F328" s="34" t="str">
        <f>IF(C328="","",Plan!R35)</f>
        <v/>
      </c>
      <c r="G328" s="34" t="str">
        <f>IF(C328="","",SUMIFS(ERP!$I$9:$I$1008,ERP!$L$9:$L$1008,C328,ERP!$N$9:$N$1008,1,ERP!$M$9:$M$1008,8))</f>
        <v/>
      </c>
      <c r="H328" s="34" t="str">
        <f>IF(C328="","",IF(8&lt;=Parametry!$G$7,0,SUMIFS(Umowy!$N$9:$N$108,Umowy!$D$9:$D$108,C328,Umowy!$O$9:$O$108,8)))</f>
        <v/>
      </c>
      <c r="I328" s="34" t="str">
        <f>IF(C328="","",IF(8&lt;=Parametry!$G$7,0,IF(COUNTIFS(Prognoza!$C$9:$C$38,C328)=1,IF(ISBLANK(INDEX(Prognoza!$K$9:$V$38,MATCH($C328,Prognoza!$C$9:$C$38,0),8)),"",IF(ISNUMBER(INDEX(Prognoza!$K$9:$V$38,MATCH($C328,Prognoza!$C$9:$C$38,0),8)),INDEX(Prognoza!$K$9:$V$38,MATCH($C328,Prognoza!$C$9:$C$38,0),8),"")),"")))</f>
        <v/>
      </c>
      <c r="J328" s="35" t="str">
        <f>IF(C328="","",IF(Plan!F35="Run",IF(ISNUMBER(INDEX(Parametry!$H$18:$S$18,1,8)),INDEX(Parametry!$H$18:$S$18,1,8),""),IF(ISNUMBER(INDEX(Parametry!$H$24:$S$24,1,8)),INDEX(Parametry!$H$24:$S$24,1,8),"")))</f>
        <v/>
      </c>
      <c r="K328" s="34" t="str">
        <f>IF(C328="","",IF(8&lt;=Parametry!$G$7,0,IF(AND(ISNUMBER(I328),ISNUMBER(J328),J328&gt;=-1),I328*(1+J328),"")))</f>
        <v/>
      </c>
      <c r="L328" s="34" t="str">
        <f>IF(C328="","",IF(8&lt;=Parametry!$G$7,G328,IF(ISNUMBER(K328),H328+K328,"")))</f>
        <v/>
      </c>
      <c r="M328" s="22" t="str">
        <f t="shared" si="8"/>
        <v/>
      </c>
      <c r="N328" s="7">
        <f t="shared" si="9"/>
        <v>0</v>
      </c>
      <c r="O328" s="7"/>
      <c r="P328" s="7"/>
    </row>
    <row r="329" spans="1:16" ht="24" customHeight="1">
      <c r="A329" s="7"/>
      <c r="B329" s="7"/>
      <c r="C329" s="13" t="str">
        <f>IF(Plan!C35="","",Plan!C35)</f>
        <v/>
      </c>
      <c r="D329" s="13" t="str">
        <f>IF(C329="","",Plan!D35)</f>
        <v/>
      </c>
      <c r="E329" s="33" t="str">
        <f>IF(OR(C329="",Parametry!$G$6=""),"",DATE(Parametry!$G$6,9,1))</f>
        <v/>
      </c>
      <c r="F329" s="34" t="str">
        <f>IF(C329="","",Plan!S35)</f>
        <v/>
      </c>
      <c r="G329" s="34" t="str">
        <f>IF(C329="","",SUMIFS(ERP!$I$9:$I$1008,ERP!$L$9:$L$1008,C329,ERP!$N$9:$N$1008,1,ERP!$M$9:$M$1008,9))</f>
        <v/>
      </c>
      <c r="H329" s="34" t="str">
        <f>IF(C329="","",IF(9&lt;=Parametry!$G$7,0,SUMIFS(Umowy!$N$9:$N$108,Umowy!$D$9:$D$108,C329,Umowy!$O$9:$O$108,9)))</f>
        <v/>
      </c>
      <c r="I329" s="34" t="str">
        <f>IF(C329="","",IF(9&lt;=Parametry!$G$7,0,IF(COUNTIFS(Prognoza!$C$9:$C$38,C329)=1,IF(ISBLANK(INDEX(Prognoza!$K$9:$V$38,MATCH($C329,Prognoza!$C$9:$C$38,0),9)),"",IF(ISNUMBER(INDEX(Prognoza!$K$9:$V$38,MATCH($C329,Prognoza!$C$9:$C$38,0),9)),INDEX(Prognoza!$K$9:$V$38,MATCH($C329,Prognoza!$C$9:$C$38,0),9),"")),"")))</f>
        <v/>
      </c>
      <c r="J329" s="35" t="str">
        <f>IF(C329="","",IF(Plan!F35="Run",IF(ISNUMBER(INDEX(Parametry!$H$18:$S$18,1,9)),INDEX(Parametry!$H$18:$S$18,1,9),""),IF(ISNUMBER(INDEX(Parametry!$H$24:$S$24,1,9)),INDEX(Parametry!$H$24:$S$24,1,9),"")))</f>
        <v/>
      </c>
      <c r="K329" s="34" t="str">
        <f>IF(C329="","",IF(9&lt;=Parametry!$G$7,0,IF(AND(ISNUMBER(I329),ISNUMBER(J329),J329&gt;=-1),I329*(1+J329),"")))</f>
        <v/>
      </c>
      <c r="L329" s="34" t="str">
        <f>IF(C329="","",IF(9&lt;=Parametry!$G$7,G329,IF(ISNUMBER(K329),H329+K329,"")))</f>
        <v/>
      </c>
      <c r="M329" s="22" t="str">
        <f t="shared" ref="M329:M368" si="10">IF(AND(C329&lt;&gt;"",ISNUMBER(L329)),L329-F329,"")</f>
        <v/>
      </c>
      <c r="N329" s="7">
        <f t="shared" ref="N329:N368" si="11">IF(C329="",0,IF(ISNUMBER(L329),0,1))</f>
        <v>0</v>
      </c>
      <c r="O329" s="7"/>
      <c r="P329" s="7"/>
    </row>
    <row r="330" spans="1:16" ht="24" customHeight="1">
      <c r="A330" s="7"/>
      <c r="B330" s="7"/>
      <c r="C330" s="13" t="str">
        <f>IF(Plan!C35="","",Plan!C35)</f>
        <v/>
      </c>
      <c r="D330" s="13" t="str">
        <f>IF(C330="","",Plan!D35)</f>
        <v/>
      </c>
      <c r="E330" s="33" t="str">
        <f>IF(OR(C330="",Parametry!$G$6=""),"",DATE(Parametry!$G$6,10,1))</f>
        <v/>
      </c>
      <c r="F330" s="34" t="str">
        <f>IF(C330="","",Plan!T35)</f>
        <v/>
      </c>
      <c r="G330" s="34" t="str">
        <f>IF(C330="","",SUMIFS(ERP!$I$9:$I$1008,ERP!$L$9:$L$1008,C330,ERP!$N$9:$N$1008,1,ERP!$M$9:$M$1008,10))</f>
        <v/>
      </c>
      <c r="H330" s="34" t="str">
        <f>IF(C330="","",IF(10&lt;=Parametry!$G$7,0,SUMIFS(Umowy!$N$9:$N$108,Umowy!$D$9:$D$108,C330,Umowy!$O$9:$O$108,10)))</f>
        <v/>
      </c>
      <c r="I330" s="34" t="str">
        <f>IF(C330="","",IF(10&lt;=Parametry!$G$7,0,IF(COUNTIFS(Prognoza!$C$9:$C$38,C330)=1,IF(ISBLANK(INDEX(Prognoza!$K$9:$V$38,MATCH($C330,Prognoza!$C$9:$C$38,0),10)),"",IF(ISNUMBER(INDEX(Prognoza!$K$9:$V$38,MATCH($C330,Prognoza!$C$9:$C$38,0),10)),INDEX(Prognoza!$K$9:$V$38,MATCH($C330,Prognoza!$C$9:$C$38,0),10),"")),"")))</f>
        <v/>
      </c>
      <c r="J330" s="35" t="str">
        <f>IF(C330="","",IF(Plan!F35="Run",IF(ISNUMBER(INDEX(Parametry!$H$18:$S$18,1,10)),INDEX(Parametry!$H$18:$S$18,1,10),""),IF(ISNUMBER(INDEX(Parametry!$H$24:$S$24,1,10)),INDEX(Parametry!$H$24:$S$24,1,10),"")))</f>
        <v/>
      </c>
      <c r="K330" s="34" t="str">
        <f>IF(C330="","",IF(10&lt;=Parametry!$G$7,0,IF(AND(ISNUMBER(I330),ISNUMBER(J330),J330&gt;=-1),I330*(1+J330),"")))</f>
        <v/>
      </c>
      <c r="L330" s="34" t="str">
        <f>IF(C330="","",IF(10&lt;=Parametry!$G$7,G330,IF(ISNUMBER(K330),H330+K330,"")))</f>
        <v/>
      </c>
      <c r="M330" s="22" t="str">
        <f t="shared" si="10"/>
        <v/>
      </c>
      <c r="N330" s="7">
        <f t="shared" si="11"/>
        <v>0</v>
      </c>
      <c r="O330" s="7"/>
      <c r="P330" s="7"/>
    </row>
    <row r="331" spans="1:16" ht="24" customHeight="1">
      <c r="A331" s="7"/>
      <c r="B331" s="7"/>
      <c r="C331" s="13" t="str">
        <f>IF(Plan!C35="","",Plan!C35)</f>
        <v/>
      </c>
      <c r="D331" s="13" t="str">
        <f>IF(C331="","",Plan!D35)</f>
        <v/>
      </c>
      <c r="E331" s="33" t="str">
        <f>IF(OR(C331="",Parametry!$G$6=""),"",DATE(Parametry!$G$6,11,1))</f>
        <v/>
      </c>
      <c r="F331" s="34" t="str">
        <f>IF(C331="","",Plan!U35)</f>
        <v/>
      </c>
      <c r="G331" s="34" t="str">
        <f>IF(C331="","",SUMIFS(ERP!$I$9:$I$1008,ERP!$L$9:$L$1008,C331,ERP!$N$9:$N$1008,1,ERP!$M$9:$M$1008,11))</f>
        <v/>
      </c>
      <c r="H331" s="34" t="str">
        <f>IF(C331="","",IF(11&lt;=Parametry!$G$7,0,SUMIFS(Umowy!$N$9:$N$108,Umowy!$D$9:$D$108,C331,Umowy!$O$9:$O$108,11)))</f>
        <v/>
      </c>
      <c r="I331" s="34" t="str">
        <f>IF(C331="","",IF(11&lt;=Parametry!$G$7,0,IF(COUNTIFS(Prognoza!$C$9:$C$38,C331)=1,IF(ISBLANK(INDEX(Prognoza!$K$9:$V$38,MATCH($C331,Prognoza!$C$9:$C$38,0),11)),"",IF(ISNUMBER(INDEX(Prognoza!$K$9:$V$38,MATCH($C331,Prognoza!$C$9:$C$38,0),11)),INDEX(Prognoza!$K$9:$V$38,MATCH($C331,Prognoza!$C$9:$C$38,0),11),"")),"")))</f>
        <v/>
      </c>
      <c r="J331" s="35" t="str">
        <f>IF(C331="","",IF(Plan!F35="Run",IF(ISNUMBER(INDEX(Parametry!$H$18:$S$18,1,11)),INDEX(Parametry!$H$18:$S$18,1,11),""),IF(ISNUMBER(INDEX(Parametry!$H$24:$S$24,1,11)),INDEX(Parametry!$H$24:$S$24,1,11),"")))</f>
        <v/>
      </c>
      <c r="K331" s="34" t="str">
        <f>IF(C331="","",IF(11&lt;=Parametry!$G$7,0,IF(AND(ISNUMBER(I331),ISNUMBER(J331),J331&gt;=-1),I331*(1+J331),"")))</f>
        <v/>
      </c>
      <c r="L331" s="34" t="str">
        <f>IF(C331="","",IF(11&lt;=Parametry!$G$7,G331,IF(ISNUMBER(K331),H331+K331,"")))</f>
        <v/>
      </c>
      <c r="M331" s="22" t="str">
        <f t="shared" si="10"/>
        <v/>
      </c>
      <c r="N331" s="7">
        <f t="shared" si="11"/>
        <v>0</v>
      </c>
      <c r="O331" s="7"/>
      <c r="P331" s="7"/>
    </row>
    <row r="332" spans="1:16" ht="24" customHeight="1">
      <c r="A332" s="7"/>
      <c r="B332" s="7"/>
      <c r="C332" s="13" t="str">
        <f>IF(Plan!C35="","",Plan!C35)</f>
        <v/>
      </c>
      <c r="D332" s="13" t="str">
        <f>IF(C332="","",Plan!D35)</f>
        <v/>
      </c>
      <c r="E332" s="33" t="str">
        <f>IF(OR(C332="",Parametry!$G$6=""),"",DATE(Parametry!$G$6,12,1))</f>
        <v/>
      </c>
      <c r="F332" s="34" t="str">
        <f>IF(C332="","",Plan!V35)</f>
        <v/>
      </c>
      <c r="G332" s="34" t="str">
        <f>IF(C332="","",SUMIFS(ERP!$I$9:$I$1008,ERP!$L$9:$L$1008,C332,ERP!$N$9:$N$1008,1,ERP!$M$9:$M$1008,12))</f>
        <v/>
      </c>
      <c r="H332" s="34" t="str">
        <f>IF(C332="","",IF(12&lt;=Parametry!$G$7,0,SUMIFS(Umowy!$N$9:$N$108,Umowy!$D$9:$D$108,C332,Umowy!$O$9:$O$108,12)))</f>
        <v/>
      </c>
      <c r="I332" s="34" t="str">
        <f>IF(C332="","",IF(12&lt;=Parametry!$G$7,0,IF(COUNTIFS(Prognoza!$C$9:$C$38,C332)=1,IF(ISBLANK(INDEX(Prognoza!$K$9:$V$38,MATCH($C332,Prognoza!$C$9:$C$38,0),12)),"",IF(ISNUMBER(INDEX(Prognoza!$K$9:$V$38,MATCH($C332,Prognoza!$C$9:$C$38,0),12)),INDEX(Prognoza!$K$9:$V$38,MATCH($C332,Prognoza!$C$9:$C$38,0),12),"")),"")))</f>
        <v/>
      </c>
      <c r="J332" s="35" t="str">
        <f>IF(C332="","",IF(Plan!F35="Run",IF(ISNUMBER(INDEX(Parametry!$H$18:$S$18,1,12)),INDEX(Parametry!$H$18:$S$18,1,12),""),IF(ISNUMBER(INDEX(Parametry!$H$24:$S$24,1,12)),INDEX(Parametry!$H$24:$S$24,1,12),"")))</f>
        <v/>
      </c>
      <c r="K332" s="34" t="str">
        <f>IF(C332="","",IF(12&lt;=Parametry!$G$7,0,IF(AND(ISNUMBER(I332),ISNUMBER(J332),J332&gt;=-1),I332*(1+J332),"")))</f>
        <v/>
      </c>
      <c r="L332" s="34" t="str">
        <f>IF(C332="","",IF(12&lt;=Parametry!$G$7,G332,IF(ISNUMBER(K332),H332+K332,"")))</f>
        <v/>
      </c>
      <c r="M332" s="22" t="str">
        <f t="shared" si="10"/>
        <v/>
      </c>
      <c r="N332" s="7">
        <f t="shared" si="11"/>
        <v>0</v>
      </c>
      <c r="O332" s="7"/>
      <c r="P332" s="7"/>
    </row>
    <row r="333" spans="1:16" ht="24" customHeight="1">
      <c r="A333" s="7"/>
      <c r="B333" s="7"/>
      <c r="C333" s="13" t="str">
        <f>IF(Plan!C36="","",Plan!C36)</f>
        <v/>
      </c>
      <c r="D333" s="13" t="str">
        <f>IF(C333="","",Plan!D36)</f>
        <v/>
      </c>
      <c r="E333" s="33" t="str">
        <f>IF(OR(C333="",Parametry!$G$6=""),"",DATE(Parametry!$G$6,1,1))</f>
        <v/>
      </c>
      <c r="F333" s="34" t="str">
        <f>IF(C333="","",Plan!K36)</f>
        <v/>
      </c>
      <c r="G333" s="34" t="str">
        <f>IF(C333="","",SUMIFS(ERP!$I$9:$I$1008,ERP!$L$9:$L$1008,C333,ERP!$N$9:$N$1008,1,ERP!$M$9:$M$1008,1))</f>
        <v/>
      </c>
      <c r="H333" s="34" t="str">
        <f>IF(C333="","",IF(1&lt;=Parametry!$G$7,0,SUMIFS(Umowy!$N$9:$N$108,Umowy!$D$9:$D$108,C333,Umowy!$O$9:$O$108,1)))</f>
        <v/>
      </c>
      <c r="I333" s="34" t="str">
        <f>IF(C333="","",IF(1&lt;=Parametry!$G$7,0,IF(COUNTIFS(Prognoza!$C$9:$C$38,C333)=1,IF(ISBLANK(INDEX(Prognoza!$K$9:$V$38,MATCH($C333,Prognoza!$C$9:$C$38,0),1)),"",IF(ISNUMBER(INDEX(Prognoza!$K$9:$V$38,MATCH($C333,Prognoza!$C$9:$C$38,0),1)),INDEX(Prognoza!$K$9:$V$38,MATCH($C333,Prognoza!$C$9:$C$38,0),1),"")),"")))</f>
        <v/>
      </c>
      <c r="J333" s="35" t="str">
        <f>IF(C333="","",IF(Plan!F36="Run",IF(ISNUMBER(INDEX(Parametry!$H$18:$S$18,1,1)),INDEX(Parametry!$H$18:$S$18,1,1),""),IF(ISNUMBER(INDEX(Parametry!$H$24:$S$24,1,1)),INDEX(Parametry!$H$24:$S$24,1,1),"")))</f>
        <v/>
      </c>
      <c r="K333" s="34" t="str">
        <f>IF(C333="","",IF(1&lt;=Parametry!$G$7,0,IF(AND(ISNUMBER(I333),ISNUMBER(J333),J333&gt;=-1),I333*(1+J333),"")))</f>
        <v/>
      </c>
      <c r="L333" s="34" t="str">
        <f>IF(C333="","",IF(1&lt;=Parametry!$G$7,G333,IF(ISNUMBER(K333),H333+K333,"")))</f>
        <v/>
      </c>
      <c r="M333" s="22" t="str">
        <f t="shared" si="10"/>
        <v/>
      </c>
      <c r="N333" s="7">
        <f t="shared" si="11"/>
        <v>0</v>
      </c>
      <c r="O333" s="7"/>
      <c r="P333" s="7"/>
    </row>
    <row r="334" spans="1:16" ht="24" customHeight="1">
      <c r="A334" s="7"/>
      <c r="B334" s="7"/>
      <c r="C334" s="13" t="str">
        <f>IF(Plan!C36="","",Plan!C36)</f>
        <v/>
      </c>
      <c r="D334" s="13" t="str">
        <f>IF(C334="","",Plan!D36)</f>
        <v/>
      </c>
      <c r="E334" s="33" t="str">
        <f>IF(OR(C334="",Parametry!$G$6=""),"",DATE(Parametry!$G$6,2,1))</f>
        <v/>
      </c>
      <c r="F334" s="34" t="str">
        <f>IF(C334="","",Plan!L36)</f>
        <v/>
      </c>
      <c r="G334" s="34" t="str">
        <f>IF(C334="","",SUMIFS(ERP!$I$9:$I$1008,ERP!$L$9:$L$1008,C334,ERP!$N$9:$N$1008,1,ERP!$M$9:$M$1008,2))</f>
        <v/>
      </c>
      <c r="H334" s="34" t="str">
        <f>IF(C334="","",IF(2&lt;=Parametry!$G$7,0,SUMIFS(Umowy!$N$9:$N$108,Umowy!$D$9:$D$108,C334,Umowy!$O$9:$O$108,2)))</f>
        <v/>
      </c>
      <c r="I334" s="34" t="str">
        <f>IF(C334="","",IF(2&lt;=Parametry!$G$7,0,IF(COUNTIFS(Prognoza!$C$9:$C$38,C334)=1,IF(ISBLANK(INDEX(Prognoza!$K$9:$V$38,MATCH($C334,Prognoza!$C$9:$C$38,0),2)),"",IF(ISNUMBER(INDEX(Prognoza!$K$9:$V$38,MATCH($C334,Prognoza!$C$9:$C$38,0),2)),INDEX(Prognoza!$K$9:$V$38,MATCH($C334,Prognoza!$C$9:$C$38,0),2),"")),"")))</f>
        <v/>
      </c>
      <c r="J334" s="35" t="str">
        <f>IF(C334="","",IF(Plan!F36="Run",IF(ISNUMBER(INDEX(Parametry!$H$18:$S$18,1,2)),INDEX(Parametry!$H$18:$S$18,1,2),""),IF(ISNUMBER(INDEX(Parametry!$H$24:$S$24,1,2)),INDEX(Parametry!$H$24:$S$24,1,2),"")))</f>
        <v/>
      </c>
      <c r="K334" s="34" t="str">
        <f>IF(C334="","",IF(2&lt;=Parametry!$G$7,0,IF(AND(ISNUMBER(I334),ISNUMBER(J334),J334&gt;=-1),I334*(1+J334),"")))</f>
        <v/>
      </c>
      <c r="L334" s="34" t="str">
        <f>IF(C334="","",IF(2&lt;=Parametry!$G$7,G334,IF(ISNUMBER(K334),H334+K334,"")))</f>
        <v/>
      </c>
      <c r="M334" s="22" t="str">
        <f t="shared" si="10"/>
        <v/>
      </c>
      <c r="N334" s="7">
        <f t="shared" si="11"/>
        <v>0</v>
      </c>
      <c r="O334" s="7"/>
      <c r="P334" s="7"/>
    </row>
    <row r="335" spans="1:16" ht="24" customHeight="1">
      <c r="A335" s="7"/>
      <c r="B335" s="7"/>
      <c r="C335" s="13" t="str">
        <f>IF(Plan!C36="","",Plan!C36)</f>
        <v/>
      </c>
      <c r="D335" s="13" t="str">
        <f>IF(C335="","",Plan!D36)</f>
        <v/>
      </c>
      <c r="E335" s="33" t="str">
        <f>IF(OR(C335="",Parametry!$G$6=""),"",DATE(Parametry!$G$6,3,1))</f>
        <v/>
      </c>
      <c r="F335" s="34" t="str">
        <f>IF(C335="","",Plan!M36)</f>
        <v/>
      </c>
      <c r="G335" s="34" t="str">
        <f>IF(C335="","",SUMIFS(ERP!$I$9:$I$1008,ERP!$L$9:$L$1008,C335,ERP!$N$9:$N$1008,1,ERP!$M$9:$M$1008,3))</f>
        <v/>
      </c>
      <c r="H335" s="34" t="str">
        <f>IF(C335="","",IF(3&lt;=Parametry!$G$7,0,SUMIFS(Umowy!$N$9:$N$108,Umowy!$D$9:$D$108,C335,Umowy!$O$9:$O$108,3)))</f>
        <v/>
      </c>
      <c r="I335" s="34" t="str">
        <f>IF(C335="","",IF(3&lt;=Parametry!$G$7,0,IF(COUNTIFS(Prognoza!$C$9:$C$38,C335)=1,IF(ISBLANK(INDEX(Prognoza!$K$9:$V$38,MATCH($C335,Prognoza!$C$9:$C$38,0),3)),"",IF(ISNUMBER(INDEX(Prognoza!$K$9:$V$38,MATCH($C335,Prognoza!$C$9:$C$38,0),3)),INDEX(Prognoza!$K$9:$V$38,MATCH($C335,Prognoza!$C$9:$C$38,0),3),"")),"")))</f>
        <v/>
      </c>
      <c r="J335" s="35" t="str">
        <f>IF(C335="","",IF(Plan!F36="Run",IF(ISNUMBER(INDEX(Parametry!$H$18:$S$18,1,3)),INDEX(Parametry!$H$18:$S$18,1,3),""),IF(ISNUMBER(INDEX(Parametry!$H$24:$S$24,1,3)),INDEX(Parametry!$H$24:$S$24,1,3),"")))</f>
        <v/>
      </c>
      <c r="K335" s="34" t="str">
        <f>IF(C335="","",IF(3&lt;=Parametry!$G$7,0,IF(AND(ISNUMBER(I335),ISNUMBER(J335),J335&gt;=-1),I335*(1+J335),"")))</f>
        <v/>
      </c>
      <c r="L335" s="34" t="str">
        <f>IF(C335="","",IF(3&lt;=Parametry!$G$7,G335,IF(ISNUMBER(K335),H335+K335,"")))</f>
        <v/>
      </c>
      <c r="M335" s="22" t="str">
        <f t="shared" si="10"/>
        <v/>
      </c>
      <c r="N335" s="7">
        <f t="shared" si="11"/>
        <v>0</v>
      </c>
      <c r="O335" s="7"/>
      <c r="P335" s="7"/>
    </row>
    <row r="336" spans="1:16" ht="24" customHeight="1">
      <c r="A336" s="7"/>
      <c r="B336" s="7"/>
      <c r="C336" s="13" t="str">
        <f>IF(Plan!C36="","",Plan!C36)</f>
        <v/>
      </c>
      <c r="D336" s="13" t="str">
        <f>IF(C336="","",Plan!D36)</f>
        <v/>
      </c>
      <c r="E336" s="33" t="str">
        <f>IF(OR(C336="",Parametry!$G$6=""),"",DATE(Parametry!$G$6,4,1))</f>
        <v/>
      </c>
      <c r="F336" s="34" t="str">
        <f>IF(C336="","",Plan!N36)</f>
        <v/>
      </c>
      <c r="G336" s="34" t="str">
        <f>IF(C336="","",SUMIFS(ERP!$I$9:$I$1008,ERP!$L$9:$L$1008,C336,ERP!$N$9:$N$1008,1,ERP!$M$9:$M$1008,4))</f>
        <v/>
      </c>
      <c r="H336" s="34" t="str">
        <f>IF(C336="","",IF(4&lt;=Parametry!$G$7,0,SUMIFS(Umowy!$N$9:$N$108,Umowy!$D$9:$D$108,C336,Umowy!$O$9:$O$108,4)))</f>
        <v/>
      </c>
      <c r="I336" s="34" t="str">
        <f>IF(C336="","",IF(4&lt;=Parametry!$G$7,0,IF(COUNTIFS(Prognoza!$C$9:$C$38,C336)=1,IF(ISBLANK(INDEX(Prognoza!$K$9:$V$38,MATCH($C336,Prognoza!$C$9:$C$38,0),4)),"",IF(ISNUMBER(INDEX(Prognoza!$K$9:$V$38,MATCH($C336,Prognoza!$C$9:$C$38,0),4)),INDEX(Prognoza!$K$9:$V$38,MATCH($C336,Prognoza!$C$9:$C$38,0),4),"")),"")))</f>
        <v/>
      </c>
      <c r="J336" s="35" t="str">
        <f>IF(C336="","",IF(Plan!F36="Run",IF(ISNUMBER(INDEX(Parametry!$H$18:$S$18,1,4)),INDEX(Parametry!$H$18:$S$18,1,4),""),IF(ISNUMBER(INDEX(Parametry!$H$24:$S$24,1,4)),INDEX(Parametry!$H$24:$S$24,1,4),"")))</f>
        <v/>
      </c>
      <c r="K336" s="34" t="str">
        <f>IF(C336="","",IF(4&lt;=Parametry!$G$7,0,IF(AND(ISNUMBER(I336),ISNUMBER(J336),J336&gt;=-1),I336*(1+J336),"")))</f>
        <v/>
      </c>
      <c r="L336" s="34" t="str">
        <f>IF(C336="","",IF(4&lt;=Parametry!$G$7,G336,IF(ISNUMBER(K336),H336+K336,"")))</f>
        <v/>
      </c>
      <c r="M336" s="22" t="str">
        <f t="shared" si="10"/>
        <v/>
      </c>
      <c r="N336" s="7">
        <f t="shared" si="11"/>
        <v>0</v>
      </c>
      <c r="O336" s="7"/>
      <c r="P336" s="7"/>
    </row>
    <row r="337" spans="1:16" ht="24" customHeight="1">
      <c r="A337" s="7"/>
      <c r="B337" s="7"/>
      <c r="C337" s="13" t="str">
        <f>IF(Plan!C36="","",Plan!C36)</f>
        <v/>
      </c>
      <c r="D337" s="13" t="str">
        <f>IF(C337="","",Plan!D36)</f>
        <v/>
      </c>
      <c r="E337" s="33" t="str">
        <f>IF(OR(C337="",Parametry!$G$6=""),"",DATE(Parametry!$G$6,5,1))</f>
        <v/>
      </c>
      <c r="F337" s="34" t="str">
        <f>IF(C337="","",Plan!O36)</f>
        <v/>
      </c>
      <c r="G337" s="34" t="str">
        <f>IF(C337="","",SUMIFS(ERP!$I$9:$I$1008,ERP!$L$9:$L$1008,C337,ERP!$N$9:$N$1008,1,ERP!$M$9:$M$1008,5))</f>
        <v/>
      </c>
      <c r="H337" s="34" t="str">
        <f>IF(C337="","",IF(5&lt;=Parametry!$G$7,0,SUMIFS(Umowy!$N$9:$N$108,Umowy!$D$9:$D$108,C337,Umowy!$O$9:$O$108,5)))</f>
        <v/>
      </c>
      <c r="I337" s="34" t="str">
        <f>IF(C337="","",IF(5&lt;=Parametry!$G$7,0,IF(COUNTIFS(Prognoza!$C$9:$C$38,C337)=1,IF(ISBLANK(INDEX(Prognoza!$K$9:$V$38,MATCH($C337,Prognoza!$C$9:$C$38,0),5)),"",IF(ISNUMBER(INDEX(Prognoza!$K$9:$V$38,MATCH($C337,Prognoza!$C$9:$C$38,0),5)),INDEX(Prognoza!$K$9:$V$38,MATCH($C337,Prognoza!$C$9:$C$38,0),5),"")),"")))</f>
        <v/>
      </c>
      <c r="J337" s="35" t="str">
        <f>IF(C337="","",IF(Plan!F36="Run",IF(ISNUMBER(INDEX(Parametry!$H$18:$S$18,1,5)),INDEX(Parametry!$H$18:$S$18,1,5),""),IF(ISNUMBER(INDEX(Parametry!$H$24:$S$24,1,5)),INDEX(Parametry!$H$24:$S$24,1,5),"")))</f>
        <v/>
      </c>
      <c r="K337" s="34" t="str">
        <f>IF(C337="","",IF(5&lt;=Parametry!$G$7,0,IF(AND(ISNUMBER(I337),ISNUMBER(J337),J337&gt;=-1),I337*(1+J337),"")))</f>
        <v/>
      </c>
      <c r="L337" s="34" t="str">
        <f>IF(C337="","",IF(5&lt;=Parametry!$G$7,G337,IF(ISNUMBER(K337),H337+K337,"")))</f>
        <v/>
      </c>
      <c r="M337" s="22" t="str">
        <f t="shared" si="10"/>
        <v/>
      </c>
      <c r="N337" s="7">
        <f t="shared" si="11"/>
        <v>0</v>
      </c>
      <c r="O337" s="7"/>
      <c r="P337" s="7"/>
    </row>
    <row r="338" spans="1:16" ht="24" customHeight="1">
      <c r="A338" s="7"/>
      <c r="B338" s="7"/>
      <c r="C338" s="13" t="str">
        <f>IF(Plan!C36="","",Plan!C36)</f>
        <v/>
      </c>
      <c r="D338" s="13" t="str">
        <f>IF(C338="","",Plan!D36)</f>
        <v/>
      </c>
      <c r="E338" s="33" t="str">
        <f>IF(OR(C338="",Parametry!$G$6=""),"",DATE(Parametry!$G$6,6,1))</f>
        <v/>
      </c>
      <c r="F338" s="34" t="str">
        <f>IF(C338="","",Plan!P36)</f>
        <v/>
      </c>
      <c r="G338" s="34" t="str">
        <f>IF(C338="","",SUMIFS(ERP!$I$9:$I$1008,ERP!$L$9:$L$1008,C338,ERP!$N$9:$N$1008,1,ERP!$M$9:$M$1008,6))</f>
        <v/>
      </c>
      <c r="H338" s="34" t="str">
        <f>IF(C338="","",IF(6&lt;=Parametry!$G$7,0,SUMIFS(Umowy!$N$9:$N$108,Umowy!$D$9:$D$108,C338,Umowy!$O$9:$O$108,6)))</f>
        <v/>
      </c>
      <c r="I338" s="34" t="str">
        <f>IF(C338="","",IF(6&lt;=Parametry!$G$7,0,IF(COUNTIFS(Prognoza!$C$9:$C$38,C338)=1,IF(ISBLANK(INDEX(Prognoza!$K$9:$V$38,MATCH($C338,Prognoza!$C$9:$C$38,0),6)),"",IF(ISNUMBER(INDEX(Prognoza!$K$9:$V$38,MATCH($C338,Prognoza!$C$9:$C$38,0),6)),INDEX(Prognoza!$K$9:$V$38,MATCH($C338,Prognoza!$C$9:$C$38,0),6),"")),"")))</f>
        <v/>
      </c>
      <c r="J338" s="35" t="str">
        <f>IF(C338="","",IF(Plan!F36="Run",IF(ISNUMBER(INDEX(Parametry!$H$18:$S$18,1,6)),INDEX(Parametry!$H$18:$S$18,1,6),""),IF(ISNUMBER(INDEX(Parametry!$H$24:$S$24,1,6)),INDEX(Parametry!$H$24:$S$24,1,6),"")))</f>
        <v/>
      </c>
      <c r="K338" s="34" t="str">
        <f>IF(C338="","",IF(6&lt;=Parametry!$G$7,0,IF(AND(ISNUMBER(I338),ISNUMBER(J338),J338&gt;=-1),I338*(1+J338),"")))</f>
        <v/>
      </c>
      <c r="L338" s="34" t="str">
        <f>IF(C338="","",IF(6&lt;=Parametry!$G$7,G338,IF(ISNUMBER(K338),H338+K338,"")))</f>
        <v/>
      </c>
      <c r="M338" s="22" t="str">
        <f t="shared" si="10"/>
        <v/>
      </c>
      <c r="N338" s="7">
        <f t="shared" si="11"/>
        <v>0</v>
      </c>
      <c r="O338" s="7"/>
      <c r="P338" s="7"/>
    </row>
    <row r="339" spans="1:16" ht="24" customHeight="1">
      <c r="A339" s="7"/>
      <c r="B339" s="7"/>
      <c r="C339" s="13" t="str">
        <f>IF(Plan!C36="","",Plan!C36)</f>
        <v/>
      </c>
      <c r="D339" s="13" t="str">
        <f>IF(C339="","",Plan!D36)</f>
        <v/>
      </c>
      <c r="E339" s="33" t="str">
        <f>IF(OR(C339="",Parametry!$G$6=""),"",DATE(Parametry!$G$6,7,1))</f>
        <v/>
      </c>
      <c r="F339" s="34" t="str">
        <f>IF(C339="","",Plan!Q36)</f>
        <v/>
      </c>
      <c r="G339" s="34" t="str">
        <f>IF(C339="","",SUMIFS(ERP!$I$9:$I$1008,ERP!$L$9:$L$1008,C339,ERP!$N$9:$N$1008,1,ERP!$M$9:$M$1008,7))</f>
        <v/>
      </c>
      <c r="H339" s="34" t="str">
        <f>IF(C339="","",IF(7&lt;=Parametry!$G$7,0,SUMIFS(Umowy!$N$9:$N$108,Umowy!$D$9:$D$108,C339,Umowy!$O$9:$O$108,7)))</f>
        <v/>
      </c>
      <c r="I339" s="34" t="str">
        <f>IF(C339="","",IF(7&lt;=Parametry!$G$7,0,IF(COUNTIFS(Prognoza!$C$9:$C$38,C339)=1,IF(ISBLANK(INDEX(Prognoza!$K$9:$V$38,MATCH($C339,Prognoza!$C$9:$C$38,0),7)),"",IF(ISNUMBER(INDEX(Prognoza!$K$9:$V$38,MATCH($C339,Prognoza!$C$9:$C$38,0),7)),INDEX(Prognoza!$K$9:$V$38,MATCH($C339,Prognoza!$C$9:$C$38,0),7),"")),"")))</f>
        <v/>
      </c>
      <c r="J339" s="35" t="str">
        <f>IF(C339="","",IF(Plan!F36="Run",IF(ISNUMBER(INDEX(Parametry!$H$18:$S$18,1,7)),INDEX(Parametry!$H$18:$S$18,1,7),""),IF(ISNUMBER(INDEX(Parametry!$H$24:$S$24,1,7)),INDEX(Parametry!$H$24:$S$24,1,7),"")))</f>
        <v/>
      </c>
      <c r="K339" s="34" t="str">
        <f>IF(C339="","",IF(7&lt;=Parametry!$G$7,0,IF(AND(ISNUMBER(I339),ISNUMBER(J339),J339&gt;=-1),I339*(1+J339),"")))</f>
        <v/>
      </c>
      <c r="L339" s="34" t="str">
        <f>IF(C339="","",IF(7&lt;=Parametry!$G$7,G339,IF(ISNUMBER(K339),H339+K339,"")))</f>
        <v/>
      </c>
      <c r="M339" s="22" t="str">
        <f t="shared" si="10"/>
        <v/>
      </c>
      <c r="N339" s="7">
        <f t="shared" si="11"/>
        <v>0</v>
      </c>
      <c r="O339" s="7"/>
      <c r="P339" s="7"/>
    </row>
    <row r="340" spans="1:16" ht="24" customHeight="1">
      <c r="A340" s="7"/>
      <c r="B340" s="7"/>
      <c r="C340" s="13" t="str">
        <f>IF(Plan!C36="","",Plan!C36)</f>
        <v/>
      </c>
      <c r="D340" s="13" t="str">
        <f>IF(C340="","",Plan!D36)</f>
        <v/>
      </c>
      <c r="E340" s="33" t="str">
        <f>IF(OR(C340="",Parametry!$G$6=""),"",DATE(Parametry!$G$6,8,1))</f>
        <v/>
      </c>
      <c r="F340" s="34" t="str">
        <f>IF(C340="","",Plan!R36)</f>
        <v/>
      </c>
      <c r="G340" s="34" t="str">
        <f>IF(C340="","",SUMIFS(ERP!$I$9:$I$1008,ERP!$L$9:$L$1008,C340,ERP!$N$9:$N$1008,1,ERP!$M$9:$M$1008,8))</f>
        <v/>
      </c>
      <c r="H340" s="34" t="str">
        <f>IF(C340="","",IF(8&lt;=Parametry!$G$7,0,SUMIFS(Umowy!$N$9:$N$108,Umowy!$D$9:$D$108,C340,Umowy!$O$9:$O$108,8)))</f>
        <v/>
      </c>
      <c r="I340" s="34" t="str">
        <f>IF(C340="","",IF(8&lt;=Parametry!$G$7,0,IF(COUNTIFS(Prognoza!$C$9:$C$38,C340)=1,IF(ISBLANK(INDEX(Prognoza!$K$9:$V$38,MATCH($C340,Prognoza!$C$9:$C$38,0),8)),"",IF(ISNUMBER(INDEX(Prognoza!$K$9:$V$38,MATCH($C340,Prognoza!$C$9:$C$38,0),8)),INDEX(Prognoza!$K$9:$V$38,MATCH($C340,Prognoza!$C$9:$C$38,0),8),"")),"")))</f>
        <v/>
      </c>
      <c r="J340" s="35" t="str">
        <f>IF(C340="","",IF(Plan!F36="Run",IF(ISNUMBER(INDEX(Parametry!$H$18:$S$18,1,8)),INDEX(Parametry!$H$18:$S$18,1,8),""),IF(ISNUMBER(INDEX(Parametry!$H$24:$S$24,1,8)),INDEX(Parametry!$H$24:$S$24,1,8),"")))</f>
        <v/>
      </c>
      <c r="K340" s="34" t="str">
        <f>IF(C340="","",IF(8&lt;=Parametry!$G$7,0,IF(AND(ISNUMBER(I340),ISNUMBER(J340),J340&gt;=-1),I340*(1+J340),"")))</f>
        <v/>
      </c>
      <c r="L340" s="34" t="str">
        <f>IF(C340="","",IF(8&lt;=Parametry!$G$7,G340,IF(ISNUMBER(K340),H340+K340,"")))</f>
        <v/>
      </c>
      <c r="M340" s="22" t="str">
        <f t="shared" si="10"/>
        <v/>
      </c>
      <c r="N340" s="7">
        <f t="shared" si="11"/>
        <v>0</v>
      </c>
      <c r="O340" s="7"/>
      <c r="P340" s="7"/>
    </row>
    <row r="341" spans="1:16" ht="24" customHeight="1">
      <c r="A341" s="7"/>
      <c r="B341" s="7"/>
      <c r="C341" s="13" t="str">
        <f>IF(Plan!C36="","",Plan!C36)</f>
        <v/>
      </c>
      <c r="D341" s="13" t="str">
        <f>IF(C341="","",Plan!D36)</f>
        <v/>
      </c>
      <c r="E341" s="33" t="str">
        <f>IF(OR(C341="",Parametry!$G$6=""),"",DATE(Parametry!$G$6,9,1))</f>
        <v/>
      </c>
      <c r="F341" s="34" t="str">
        <f>IF(C341="","",Plan!S36)</f>
        <v/>
      </c>
      <c r="G341" s="34" t="str">
        <f>IF(C341="","",SUMIFS(ERP!$I$9:$I$1008,ERP!$L$9:$L$1008,C341,ERP!$N$9:$N$1008,1,ERP!$M$9:$M$1008,9))</f>
        <v/>
      </c>
      <c r="H341" s="34" t="str">
        <f>IF(C341="","",IF(9&lt;=Parametry!$G$7,0,SUMIFS(Umowy!$N$9:$N$108,Umowy!$D$9:$D$108,C341,Umowy!$O$9:$O$108,9)))</f>
        <v/>
      </c>
      <c r="I341" s="34" t="str">
        <f>IF(C341="","",IF(9&lt;=Parametry!$G$7,0,IF(COUNTIFS(Prognoza!$C$9:$C$38,C341)=1,IF(ISBLANK(INDEX(Prognoza!$K$9:$V$38,MATCH($C341,Prognoza!$C$9:$C$38,0),9)),"",IF(ISNUMBER(INDEX(Prognoza!$K$9:$V$38,MATCH($C341,Prognoza!$C$9:$C$38,0),9)),INDEX(Prognoza!$K$9:$V$38,MATCH($C341,Prognoza!$C$9:$C$38,0),9),"")),"")))</f>
        <v/>
      </c>
      <c r="J341" s="35" t="str">
        <f>IF(C341="","",IF(Plan!F36="Run",IF(ISNUMBER(INDEX(Parametry!$H$18:$S$18,1,9)),INDEX(Parametry!$H$18:$S$18,1,9),""),IF(ISNUMBER(INDEX(Parametry!$H$24:$S$24,1,9)),INDEX(Parametry!$H$24:$S$24,1,9),"")))</f>
        <v/>
      </c>
      <c r="K341" s="34" t="str">
        <f>IF(C341="","",IF(9&lt;=Parametry!$G$7,0,IF(AND(ISNUMBER(I341),ISNUMBER(J341),J341&gt;=-1),I341*(1+J341),"")))</f>
        <v/>
      </c>
      <c r="L341" s="34" t="str">
        <f>IF(C341="","",IF(9&lt;=Parametry!$G$7,G341,IF(ISNUMBER(K341),H341+K341,"")))</f>
        <v/>
      </c>
      <c r="M341" s="22" t="str">
        <f t="shared" si="10"/>
        <v/>
      </c>
      <c r="N341" s="7">
        <f t="shared" si="11"/>
        <v>0</v>
      </c>
      <c r="O341" s="7"/>
      <c r="P341" s="7"/>
    </row>
    <row r="342" spans="1:16" ht="24" customHeight="1">
      <c r="A342" s="7"/>
      <c r="B342" s="7"/>
      <c r="C342" s="13" t="str">
        <f>IF(Plan!C36="","",Plan!C36)</f>
        <v/>
      </c>
      <c r="D342" s="13" t="str">
        <f>IF(C342="","",Plan!D36)</f>
        <v/>
      </c>
      <c r="E342" s="33" t="str">
        <f>IF(OR(C342="",Parametry!$G$6=""),"",DATE(Parametry!$G$6,10,1))</f>
        <v/>
      </c>
      <c r="F342" s="34" t="str">
        <f>IF(C342="","",Plan!T36)</f>
        <v/>
      </c>
      <c r="G342" s="34" t="str">
        <f>IF(C342="","",SUMIFS(ERP!$I$9:$I$1008,ERP!$L$9:$L$1008,C342,ERP!$N$9:$N$1008,1,ERP!$M$9:$M$1008,10))</f>
        <v/>
      </c>
      <c r="H342" s="34" t="str">
        <f>IF(C342="","",IF(10&lt;=Parametry!$G$7,0,SUMIFS(Umowy!$N$9:$N$108,Umowy!$D$9:$D$108,C342,Umowy!$O$9:$O$108,10)))</f>
        <v/>
      </c>
      <c r="I342" s="34" t="str">
        <f>IF(C342="","",IF(10&lt;=Parametry!$G$7,0,IF(COUNTIFS(Prognoza!$C$9:$C$38,C342)=1,IF(ISBLANK(INDEX(Prognoza!$K$9:$V$38,MATCH($C342,Prognoza!$C$9:$C$38,0),10)),"",IF(ISNUMBER(INDEX(Prognoza!$K$9:$V$38,MATCH($C342,Prognoza!$C$9:$C$38,0),10)),INDEX(Prognoza!$K$9:$V$38,MATCH($C342,Prognoza!$C$9:$C$38,0),10),"")),"")))</f>
        <v/>
      </c>
      <c r="J342" s="35" t="str">
        <f>IF(C342="","",IF(Plan!F36="Run",IF(ISNUMBER(INDEX(Parametry!$H$18:$S$18,1,10)),INDEX(Parametry!$H$18:$S$18,1,10),""),IF(ISNUMBER(INDEX(Parametry!$H$24:$S$24,1,10)),INDEX(Parametry!$H$24:$S$24,1,10),"")))</f>
        <v/>
      </c>
      <c r="K342" s="34" t="str">
        <f>IF(C342="","",IF(10&lt;=Parametry!$G$7,0,IF(AND(ISNUMBER(I342),ISNUMBER(J342),J342&gt;=-1),I342*(1+J342),"")))</f>
        <v/>
      </c>
      <c r="L342" s="34" t="str">
        <f>IF(C342="","",IF(10&lt;=Parametry!$G$7,G342,IF(ISNUMBER(K342),H342+K342,"")))</f>
        <v/>
      </c>
      <c r="M342" s="22" t="str">
        <f t="shared" si="10"/>
        <v/>
      </c>
      <c r="N342" s="7">
        <f t="shared" si="11"/>
        <v>0</v>
      </c>
      <c r="O342" s="7"/>
      <c r="P342" s="7"/>
    </row>
    <row r="343" spans="1:16" ht="24" customHeight="1">
      <c r="A343" s="7"/>
      <c r="B343" s="7"/>
      <c r="C343" s="13" t="str">
        <f>IF(Plan!C36="","",Plan!C36)</f>
        <v/>
      </c>
      <c r="D343" s="13" t="str">
        <f>IF(C343="","",Plan!D36)</f>
        <v/>
      </c>
      <c r="E343" s="33" t="str">
        <f>IF(OR(C343="",Parametry!$G$6=""),"",DATE(Parametry!$G$6,11,1))</f>
        <v/>
      </c>
      <c r="F343" s="34" t="str">
        <f>IF(C343="","",Plan!U36)</f>
        <v/>
      </c>
      <c r="G343" s="34" t="str">
        <f>IF(C343="","",SUMIFS(ERP!$I$9:$I$1008,ERP!$L$9:$L$1008,C343,ERP!$N$9:$N$1008,1,ERP!$M$9:$M$1008,11))</f>
        <v/>
      </c>
      <c r="H343" s="34" t="str">
        <f>IF(C343="","",IF(11&lt;=Parametry!$G$7,0,SUMIFS(Umowy!$N$9:$N$108,Umowy!$D$9:$D$108,C343,Umowy!$O$9:$O$108,11)))</f>
        <v/>
      </c>
      <c r="I343" s="34" t="str">
        <f>IF(C343="","",IF(11&lt;=Parametry!$G$7,0,IF(COUNTIFS(Prognoza!$C$9:$C$38,C343)=1,IF(ISBLANK(INDEX(Prognoza!$K$9:$V$38,MATCH($C343,Prognoza!$C$9:$C$38,0),11)),"",IF(ISNUMBER(INDEX(Prognoza!$K$9:$V$38,MATCH($C343,Prognoza!$C$9:$C$38,0),11)),INDEX(Prognoza!$K$9:$V$38,MATCH($C343,Prognoza!$C$9:$C$38,0),11),"")),"")))</f>
        <v/>
      </c>
      <c r="J343" s="35" t="str">
        <f>IF(C343="","",IF(Plan!F36="Run",IF(ISNUMBER(INDEX(Parametry!$H$18:$S$18,1,11)),INDEX(Parametry!$H$18:$S$18,1,11),""),IF(ISNUMBER(INDEX(Parametry!$H$24:$S$24,1,11)),INDEX(Parametry!$H$24:$S$24,1,11),"")))</f>
        <v/>
      </c>
      <c r="K343" s="34" t="str">
        <f>IF(C343="","",IF(11&lt;=Parametry!$G$7,0,IF(AND(ISNUMBER(I343),ISNUMBER(J343),J343&gt;=-1),I343*(1+J343),"")))</f>
        <v/>
      </c>
      <c r="L343" s="34" t="str">
        <f>IF(C343="","",IF(11&lt;=Parametry!$G$7,G343,IF(ISNUMBER(K343),H343+K343,"")))</f>
        <v/>
      </c>
      <c r="M343" s="22" t="str">
        <f t="shared" si="10"/>
        <v/>
      </c>
      <c r="N343" s="7">
        <f t="shared" si="11"/>
        <v>0</v>
      </c>
      <c r="O343" s="7"/>
      <c r="P343" s="7"/>
    </row>
    <row r="344" spans="1:16" ht="24" customHeight="1">
      <c r="A344" s="7"/>
      <c r="B344" s="7"/>
      <c r="C344" s="13" t="str">
        <f>IF(Plan!C36="","",Plan!C36)</f>
        <v/>
      </c>
      <c r="D344" s="13" t="str">
        <f>IF(C344="","",Plan!D36)</f>
        <v/>
      </c>
      <c r="E344" s="33" t="str">
        <f>IF(OR(C344="",Parametry!$G$6=""),"",DATE(Parametry!$G$6,12,1))</f>
        <v/>
      </c>
      <c r="F344" s="34" t="str">
        <f>IF(C344="","",Plan!V36)</f>
        <v/>
      </c>
      <c r="G344" s="34" t="str">
        <f>IF(C344="","",SUMIFS(ERP!$I$9:$I$1008,ERP!$L$9:$L$1008,C344,ERP!$N$9:$N$1008,1,ERP!$M$9:$M$1008,12))</f>
        <v/>
      </c>
      <c r="H344" s="34" t="str">
        <f>IF(C344="","",IF(12&lt;=Parametry!$G$7,0,SUMIFS(Umowy!$N$9:$N$108,Umowy!$D$9:$D$108,C344,Umowy!$O$9:$O$108,12)))</f>
        <v/>
      </c>
      <c r="I344" s="34" t="str">
        <f>IF(C344="","",IF(12&lt;=Parametry!$G$7,0,IF(COUNTIFS(Prognoza!$C$9:$C$38,C344)=1,IF(ISBLANK(INDEX(Prognoza!$K$9:$V$38,MATCH($C344,Prognoza!$C$9:$C$38,0),12)),"",IF(ISNUMBER(INDEX(Prognoza!$K$9:$V$38,MATCH($C344,Prognoza!$C$9:$C$38,0),12)),INDEX(Prognoza!$K$9:$V$38,MATCH($C344,Prognoza!$C$9:$C$38,0),12),"")),"")))</f>
        <v/>
      </c>
      <c r="J344" s="35" t="str">
        <f>IF(C344="","",IF(Plan!F36="Run",IF(ISNUMBER(INDEX(Parametry!$H$18:$S$18,1,12)),INDEX(Parametry!$H$18:$S$18,1,12),""),IF(ISNUMBER(INDEX(Parametry!$H$24:$S$24,1,12)),INDEX(Parametry!$H$24:$S$24,1,12),"")))</f>
        <v/>
      </c>
      <c r="K344" s="34" t="str">
        <f>IF(C344="","",IF(12&lt;=Parametry!$G$7,0,IF(AND(ISNUMBER(I344),ISNUMBER(J344),J344&gt;=-1),I344*(1+J344),"")))</f>
        <v/>
      </c>
      <c r="L344" s="34" t="str">
        <f>IF(C344="","",IF(12&lt;=Parametry!$G$7,G344,IF(ISNUMBER(K344),H344+K344,"")))</f>
        <v/>
      </c>
      <c r="M344" s="22" t="str">
        <f t="shared" si="10"/>
        <v/>
      </c>
      <c r="N344" s="7">
        <f t="shared" si="11"/>
        <v>0</v>
      </c>
      <c r="O344" s="7"/>
      <c r="P344" s="7"/>
    </row>
    <row r="345" spans="1:16" ht="24" customHeight="1">
      <c r="A345" s="7"/>
      <c r="B345" s="7"/>
      <c r="C345" s="13" t="str">
        <f>IF(Plan!C37="","",Plan!C37)</f>
        <v/>
      </c>
      <c r="D345" s="13" t="str">
        <f>IF(C345="","",Plan!D37)</f>
        <v/>
      </c>
      <c r="E345" s="33" t="str">
        <f>IF(OR(C345="",Parametry!$G$6=""),"",DATE(Parametry!$G$6,1,1))</f>
        <v/>
      </c>
      <c r="F345" s="34" t="str">
        <f>IF(C345="","",Plan!K37)</f>
        <v/>
      </c>
      <c r="G345" s="34" t="str">
        <f>IF(C345="","",SUMIFS(ERP!$I$9:$I$1008,ERP!$L$9:$L$1008,C345,ERP!$N$9:$N$1008,1,ERP!$M$9:$M$1008,1))</f>
        <v/>
      </c>
      <c r="H345" s="34" t="str">
        <f>IF(C345="","",IF(1&lt;=Parametry!$G$7,0,SUMIFS(Umowy!$N$9:$N$108,Umowy!$D$9:$D$108,C345,Umowy!$O$9:$O$108,1)))</f>
        <v/>
      </c>
      <c r="I345" s="34" t="str">
        <f>IF(C345="","",IF(1&lt;=Parametry!$G$7,0,IF(COUNTIFS(Prognoza!$C$9:$C$38,C345)=1,IF(ISBLANK(INDEX(Prognoza!$K$9:$V$38,MATCH($C345,Prognoza!$C$9:$C$38,0),1)),"",IF(ISNUMBER(INDEX(Prognoza!$K$9:$V$38,MATCH($C345,Prognoza!$C$9:$C$38,0),1)),INDEX(Prognoza!$K$9:$V$38,MATCH($C345,Prognoza!$C$9:$C$38,0),1),"")),"")))</f>
        <v/>
      </c>
      <c r="J345" s="35" t="str">
        <f>IF(C345="","",IF(Plan!F37="Run",IF(ISNUMBER(INDEX(Parametry!$H$18:$S$18,1,1)),INDEX(Parametry!$H$18:$S$18,1,1),""),IF(ISNUMBER(INDEX(Parametry!$H$24:$S$24,1,1)),INDEX(Parametry!$H$24:$S$24,1,1),"")))</f>
        <v/>
      </c>
      <c r="K345" s="34" t="str">
        <f>IF(C345="","",IF(1&lt;=Parametry!$G$7,0,IF(AND(ISNUMBER(I345),ISNUMBER(J345),J345&gt;=-1),I345*(1+J345),"")))</f>
        <v/>
      </c>
      <c r="L345" s="34" t="str">
        <f>IF(C345="","",IF(1&lt;=Parametry!$G$7,G345,IF(ISNUMBER(K345),H345+K345,"")))</f>
        <v/>
      </c>
      <c r="M345" s="22" t="str">
        <f t="shared" si="10"/>
        <v/>
      </c>
      <c r="N345" s="7">
        <f t="shared" si="11"/>
        <v>0</v>
      </c>
      <c r="O345" s="7"/>
      <c r="P345" s="7"/>
    </row>
    <row r="346" spans="1:16" ht="24" customHeight="1">
      <c r="A346" s="7"/>
      <c r="B346" s="7"/>
      <c r="C346" s="13" t="str">
        <f>IF(Plan!C37="","",Plan!C37)</f>
        <v/>
      </c>
      <c r="D346" s="13" t="str">
        <f>IF(C346="","",Plan!D37)</f>
        <v/>
      </c>
      <c r="E346" s="33" t="str">
        <f>IF(OR(C346="",Parametry!$G$6=""),"",DATE(Parametry!$G$6,2,1))</f>
        <v/>
      </c>
      <c r="F346" s="34" t="str">
        <f>IF(C346="","",Plan!L37)</f>
        <v/>
      </c>
      <c r="G346" s="34" t="str">
        <f>IF(C346="","",SUMIFS(ERP!$I$9:$I$1008,ERP!$L$9:$L$1008,C346,ERP!$N$9:$N$1008,1,ERP!$M$9:$M$1008,2))</f>
        <v/>
      </c>
      <c r="H346" s="34" t="str">
        <f>IF(C346="","",IF(2&lt;=Parametry!$G$7,0,SUMIFS(Umowy!$N$9:$N$108,Umowy!$D$9:$D$108,C346,Umowy!$O$9:$O$108,2)))</f>
        <v/>
      </c>
      <c r="I346" s="34" t="str">
        <f>IF(C346="","",IF(2&lt;=Parametry!$G$7,0,IF(COUNTIFS(Prognoza!$C$9:$C$38,C346)=1,IF(ISBLANK(INDEX(Prognoza!$K$9:$V$38,MATCH($C346,Prognoza!$C$9:$C$38,0),2)),"",IF(ISNUMBER(INDEX(Prognoza!$K$9:$V$38,MATCH($C346,Prognoza!$C$9:$C$38,0),2)),INDEX(Prognoza!$K$9:$V$38,MATCH($C346,Prognoza!$C$9:$C$38,0),2),"")),"")))</f>
        <v/>
      </c>
      <c r="J346" s="35" t="str">
        <f>IF(C346="","",IF(Plan!F37="Run",IF(ISNUMBER(INDEX(Parametry!$H$18:$S$18,1,2)),INDEX(Parametry!$H$18:$S$18,1,2),""),IF(ISNUMBER(INDEX(Parametry!$H$24:$S$24,1,2)),INDEX(Parametry!$H$24:$S$24,1,2),"")))</f>
        <v/>
      </c>
      <c r="K346" s="34" t="str">
        <f>IF(C346="","",IF(2&lt;=Parametry!$G$7,0,IF(AND(ISNUMBER(I346),ISNUMBER(J346),J346&gt;=-1),I346*(1+J346),"")))</f>
        <v/>
      </c>
      <c r="L346" s="34" t="str">
        <f>IF(C346="","",IF(2&lt;=Parametry!$G$7,G346,IF(ISNUMBER(K346),H346+K346,"")))</f>
        <v/>
      </c>
      <c r="M346" s="22" t="str">
        <f t="shared" si="10"/>
        <v/>
      </c>
      <c r="N346" s="7">
        <f t="shared" si="11"/>
        <v>0</v>
      </c>
      <c r="O346" s="7"/>
      <c r="P346" s="7"/>
    </row>
    <row r="347" spans="1:16" ht="24" customHeight="1">
      <c r="A347" s="7"/>
      <c r="B347" s="7"/>
      <c r="C347" s="13" t="str">
        <f>IF(Plan!C37="","",Plan!C37)</f>
        <v/>
      </c>
      <c r="D347" s="13" t="str">
        <f>IF(C347="","",Plan!D37)</f>
        <v/>
      </c>
      <c r="E347" s="33" t="str">
        <f>IF(OR(C347="",Parametry!$G$6=""),"",DATE(Parametry!$G$6,3,1))</f>
        <v/>
      </c>
      <c r="F347" s="34" t="str">
        <f>IF(C347="","",Plan!M37)</f>
        <v/>
      </c>
      <c r="G347" s="34" t="str">
        <f>IF(C347="","",SUMIFS(ERP!$I$9:$I$1008,ERP!$L$9:$L$1008,C347,ERP!$N$9:$N$1008,1,ERP!$M$9:$M$1008,3))</f>
        <v/>
      </c>
      <c r="H347" s="34" t="str">
        <f>IF(C347="","",IF(3&lt;=Parametry!$G$7,0,SUMIFS(Umowy!$N$9:$N$108,Umowy!$D$9:$D$108,C347,Umowy!$O$9:$O$108,3)))</f>
        <v/>
      </c>
      <c r="I347" s="34" t="str">
        <f>IF(C347="","",IF(3&lt;=Parametry!$G$7,0,IF(COUNTIFS(Prognoza!$C$9:$C$38,C347)=1,IF(ISBLANK(INDEX(Prognoza!$K$9:$V$38,MATCH($C347,Prognoza!$C$9:$C$38,0),3)),"",IF(ISNUMBER(INDEX(Prognoza!$K$9:$V$38,MATCH($C347,Prognoza!$C$9:$C$38,0),3)),INDEX(Prognoza!$K$9:$V$38,MATCH($C347,Prognoza!$C$9:$C$38,0),3),"")),"")))</f>
        <v/>
      </c>
      <c r="J347" s="35" t="str">
        <f>IF(C347="","",IF(Plan!F37="Run",IF(ISNUMBER(INDEX(Parametry!$H$18:$S$18,1,3)),INDEX(Parametry!$H$18:$S$18,1,3),""),IF(ISNUMBER(INDEX(Parametry!$H$24:$S$24,1,3)),INDEX(Parametry!$H$24:$S$24,1,3),"")))</f>
        <v/>
      </c>
      <c r="K347" s="34" t="str">
        <f>IF(C347="","",IF(3&lt;=Parametry!$G$7,0,IF(AND(ISNUMBER(I347),ISNUMBER(J347),J347&gt;=-1),I347*(1+J347),"")))</f>
        <v/>
      </c>
      <c r="L347" s="34" t="str">
        <f>IF(C347="","",IF(3&lt;=Parametry!$G$7,G347,IF(ISNUMBER(K347),H347+K347,"")))</f>
        <v/>
      </c>
      <c r="M347" s="22" t="str">
        <f t="shared" si="10"/>
        <v/>
      </c>
      <c r="N347" s="7">
        <f t="shared" si="11"/>
        <v>0</v>
      </c>
      <c r="O347" s="7"/>
      <c r="P347" s="7"/>
    </row>
    <row r="348" spans="1:16" ht="24" customHeight="1">
      <c r="A348" s="7"/>
      <c r="B348" s="7"/>
      <c r="C348" s="13" t="str">
        <f>IF(Plan!C37="","",Plan!C37)</f>
        <v/>
      </c>
      <c r="D348" s="13" t="str">
        <f>IF(C348="","",Plan!D37)</f>
        <v/>
      </c>
      <c r="E348" s="33" t="str">
        <f>IF(OR(C348="",Parametry!$G$6=""),"",DATE(Parametry!$G$6,4,1))</f>
        <v/>
      </c>
      <c r="F348" s="34" t="str">
        <f>IF(C348="","",Plan!N37)</f>
        <v/>
      </c>
      <c r="G348" s="34" t="str">
        <f>IF(C348="","",SUMIFS(ERP!$I$9:$I$1008,ERP!$L$9:$L$1008,C348,ERP!$N$9:$N$1008,1,ERP!$M$9:$M$1008,4))</f>
        <v/>
      </c>
      <c r="H348" s="34" t="str">
        <f>IF(C348="","",IF(4&lt;=Parametry!$G$7,0,SUMIFS(Umowy!$N$9:$N$108,Umowy!$D$9:$D$108,C348,Umowy!$O$9:$O$108,4)))</f>
        <v/>
      </c>
      <c r="I348" s="34" t="str">
        <f>IF(C348="","",IF(4&lt;=Parametry!$G$7,0,IF(COUNTIFS(Prognoza!$C$9:$C$38,C348)=1,IF(ISBLANK(INDEX(Prognoza!$K$9:$V$38,MATCH($C348,Prognoza!$C$9:$C$38,0),4)),"",IF(ISNUMBER(INDEX(Prognoza!$K$9:$V$38,MATCH($C348,Prognoza!$C$9:$C$38,0),4)),INDEX(Prognoza!$K$9:$V$38,MATCH($C348,Prognoza!$C$9:$C$38,0),4),"")),"")))</f>
        <v/>
      </c>
      <c r="J348" s="35" t="str">
        <f>IF(C348="","",IF(Plan!F37="Run",IF(ISNUMBER(INDEX(Parametry!$H$18:$S$18,1,4)),INDEX(Parametry!$H$18:$S$18,1,4),""),IF(ISNUMBER(INDEX(Parametry!$H$24:$S$24,1,4)),INDEX(Parametry!$H$24:$S$24,1,4),"")))</f>
        <v/>
      </c>
      <c r="K348" s="34" t="str">
        <f>IF(C348="","",IF(4&lt;=Parametry!$G$7,0,IF(AND(ISNUMBER(I348),ISNUMBER(J348),J348&gt;=-1),I348*(1+J348),"")))</f>
        <v/>
      </c>
      <c r="L348" s="34" t="str">
        <f>IF(C348="","",IF(4&lt;=Parametry!$G$7,G348,IF(ISNUMBER(K348),H348+K348,"")))</f>
        <v/>
      </c>
      <c r="M348" s="22" t="str">
        <f t="shared" si="10"/>
        <v/>
      </c>
      <c r="N348" s="7">
        <f t="shared" si="11"/>
        <v>0</v>
      </c>
      <c r="O348" s="7"/>
      <c r="P348" s="7"/>
    </row>
    <row r="349" spans="1:16" ht="24" customHeight="1">
      <c r="A349" s="7"/>
      <c r="B349" s="7"/>
      <c r="C349" s="13" t="str">
        <f>IF(Plan!C37="","",Plan!C37)</f>
        <v/>
      </c>
      <c r="D349" s="13" t="str">
        <f>IF(C349="","",Plan!D37)</f>
        <v/>
      </c>
      <c r="E349" s="33" t="str">
        <f>IF(OR(C349="",Parametry!$G$6=""),"",DATE(Parametry!$G$6,5,1))</f>
        <v/>
      </c>
      <c r="F349" s="34" t="str">
        <f>IF(C349="","",Plan!O37)</f>
        <v/>
      </c>
      <c r="G349" s="34" t="str">
        <f>IF(C349="","",SUMIFS(ERP!$I$9:$I$1008,ERP!$L$9:$L$1008,C349,ERP!$N$9:$N$1008,1,ERP!$M$9:$M$1008,5))</f>
        <v/>
      </c>
      <c r="H349" s="34" t="str">
        <f>IF(C349="","",IF(5&lt;=Parametry!$G$7,0,SUMIFS(Umowy!$N$9:$N$108,Umowy!$D$9:$D$108,C349,Umowy!$O$9:$O$108,5)))</f>
        <v/>
      </c>
      <c r="I349" s="34" t="str">
        <f>IF(C349="","",IF(5&lt;=Parametry!$G$7,0,IF(COUNTIFS(Prognoza!$C$9:$C$38,C349)=1,IF(ISBLANK(INDEX(Prognoza!$K$9:$V$38,MATCH($C349,Prognoza!$C$9:$C$38,0),5)),"",IF(ISNUMBER(INDEX(Prognoza!$K$9:$V$38,MATCH($C349,Prognoza!$C$9:$C$38,0),5)),INDEX(Prognoza!$K$9:$V$38,MATCH($C349,Prognoza!$C$9:$C$38,0),5),"")),"")))</f>
        <v/>
      </c>
      <c r="J349" s="35" t="str">
        <f>IF(C349="","",IF(Plan!F37="Run",IF(ISNUMBER(INDEX(Parametry!$H$18:$S$18,1,5)),INDEX(Parametry!$H$18:$S$18,1,5),""),IF(ISNUMBER(INDEX(Parametry!$H$24:$S$24,1,5)),INDEX(Parametry!$H$24:$S$24,1,5),"")))</f>
        <v/>
      </c>
      <c r="K349" s="34" t="str">
        <f>IF(C349="","",IF(5&lt;=Parametry!$G$7,0,IF(AND(ISNUMBER(I349),ISNUMBER(J349),J349&gt;=-1),I349*(1+J349),"")))</f>
        <v/>
      </c>
      <c r="L349" s="34" t="str">
        <f>IF(C349="","",IF(5&lt;=Parametry!$G$7,G349,IF(ISNUMBER(K349),H349+K349,"")))</f>
        <v/>
      </c>
      <c r="M349" s="22" t="str">
        <f t="shared" si="10"/>
        <v/>
      </c>
      <c r="N349" s="7">
        <f t="shared" si="11"/>
        <v>0</v>
      </c>
      <c r="O349" s="7"/>
      <c r="P349" s="7"/>
    </row>
    <row r="350" spans="1:16" ht="24" customHeight="1">
      <c r="A350" s="7"/>
      <c r="B350" s="7"/>
      <c r="C350" s="13" t="str">
        <f>IF(Plan!C37="","",Plan!C37)</f>
        <v/>
      </c>
      <c r="D350" s="13" t="str">
        <f>IF(C350="","",Plan!D37)</f>
        <v/>
      </c>
      <c r="E350" s="33" t="str">
        <f>IF(OR(C350="",Parametry!$G$6=""),"",DATE(Parametry!$G$6,6,1))</f>
        <v/>
      </c>
      <c r="F350" s="34" t="str">
        <f>IF(C350="","",Plan!P37)</f>
        <v/>
      </c>
      <c r="G350" s="34" t="str">
        <f>IF(C350="","",SUMIFS(ERP!$I$9:$I$1008,ERP!$L$9:$L$1008,C350,ERP!$N$9:$N$1008,1,ERP!$M$9:$M$1008,6))</f>
        <v/>
      </c>
      <c r="H350" s="34" t="str">
        <f>IF(C350="","",IF(6&lt;=Parametry!$G$7,0,SUMIFS(Umowy!$N$9:$N$108,Umowy!$D$9:$D$108,C350,Umowy!$O$9:$O$108,6)))</f>
        <v/>
      </c>
      <c r="I350" s="34" t="str">
        <f>IF(C350="","",IF(6&lt;=Parametry!$G$7,0,IF(COUNTIFS(Prognoza!$C$9:$C$38,C350)=1,IF(ISBLANK(INDEX(Prognoza!$K$9:$V$38,MATCH($C350,Prognoza!$C$9:$C$38,0),6)),"",IF(ISNUMBER(INDEX(Prognoza!$K$9:$V$38,MATCH($C350,Prognoza!$C$9:$C$38,0),6)),INDEX(Prognoza!$K$9:$V$38,MATCH($C350,Prognoza!$C$9:$C$38,0),6),"")),"")))</f>
        <v/>
      </c>
      <c r="J350" s="35" t="str">
        <f>IF(C350="","",IF(Plan!F37="Run",IF(ISNUMBER(INDEX(Parametry!$H$18:$S$18,1,6)),INDEX(Parametry!$H$18:$S$18,1,6),""),IF(ISNUMBER(INDEX(Parametry!$H$24:$S$24,1,6)),INDEX(Parametry!$H$24:$S$24,1,6),"")))</f>
        <v/>
      </c>
      <c r="K350" s="34" t="str">
        <f>IF(C350="","",IF(6&lt;=Parametry!$G$7,0,IF(AND(ISNUMBER(I350),ISNUMBER(J350),J350&gt;=-1),I350*(1+J350),"")))</f>
        <v/>
      </c>
      <c r="L350" s="34" t="str">
        <f>IF(C350="","",IF(6&lt;=Parametry!$G$7,G350,IF(ISNUMBER(K350),H350+K350,"")))</f>
        <v/>
      </c>
      <c r="M350" s="22" t="str">
        <f t="shared" si="10"/>
        <v/>
      </c>
      <c r="N350" s="7">
        <f t="shared" si="11"/>
        <v>0</v>
      </c>
      <c r="O350" s="7"/>
      <c r="P350" s="7"/>
    </row>
    <row r="351" spans="1:16" ht="24" customHeight="1">
      <c r="A351" s="7"/>
      <c r="B351" s="7"/>
      <c r="C351" s="13" t="str">
        <f>IF(Plan!C37="","",Plan!C37)</f>
        <v/>
      </c>
      <c r="D351" s="13" t="str">
        <f>IF(C351="","",Plan!D37)</f>
        <v/>
      </c>
      <c r="E351" s="33" t="str">
        <f>IF(OR(C351="",Parametry!$G$6=""),"",DATE(Parametry!$G$6,7,1))</f>
        <v/>
      </c>
      <c r="F351" s="34" t="str">
        <f>IF(C351="","",Plan!Q37)</f>
        <v/>
      </c>
      <c r="G351" s="34" t="str">
        <f>IF(C351="","",SUMIFS(ERP!$I$9:$I$1008,ERP!$L$9:$L$1008,C351,ERP!$N$9:$N$1008,1,ERP!$M$9:$M$1008,7))</f>
        <v/>
      </c>
      <c r="H351" s="34" t="str">
        <f>IF(C351="","",IF(7&lt;=Parametry!$G$7,0,SUMIFS(Umowy!$N$9:$N$108,Umowy!$D$9:$D$108,C351,Umowy!$O$9:$O$108,7)))</f>
        <v/>
      </c>
      <c r="I351" s="34" t="str">
        <f>IF(C351="","",IF(7&lt;=Parametry!$G$7,0,IF(COUNTIFS(Prognoza!$C$9:$C$38,C351)=1,IF(ISBLANK(INDEX(Prognoza!$K$9:$V$38,MATCH($C351,Prognoza!$C$9:$C$38,0),7)),"",IF(ISNUMBER(INDEX(Prognoza!$K$9:$V$38,MATCH($C351,Prognoza!$C$9:$C$38,0),7)),INDEX(Prognoza!$K$9:$V$38,MATCH($C351,Prognoza!$C$9:$C$38,0),7),"")),"")))</f>
        <v/>
      </c>
      <c r="J351" s="35" t="str">
        <f>IF(C351="","",IF(Plan!F37="Run",IF(ISNUMBER(INDEX(Parametry!$H$18:$S$18,1,7)),INDEX(Parametry!$H$18:$S$18,1,7),""),IF(ISNUMBER(INDEX(Parametry!$H$24:$S$24,1,7)),INDEX(Parametry!$H$24:$S$24,1,7),"")))</f>
        <v/>
      </c>
      <c r="K351" s="34" t="str">
        <f>IF(C351="","",IF(7&lt;=Parametry!$G$7,0,IF(AND(ISNUMBER(I351),ISNUMBER(J351),J351&gt;=-1),I351*(1+J351),"")))</f>
        <v/>
      </c>
      <c r="L351" s="34" t="str">
        <f>IF(C351="","",IF(7&lt;=Parametry!$G$7,G351,IF(ISNUMBER(K351),H351+K351,"")))</f>
        <v/>
      </c>
      <c r="M351" s="22" t="str">
        <f t="shared" si="10"/>
        <v/>
      </c>
      <c r="N351" s="7">
        <f t="shared" si="11"/>
        <v>0</v>
      </c>
      <c r="O351" s="7"/>
      <c r="P351" s="7"/>
    </row>
    <row r="352" spans="1:16" ht="24" customHeight="1">
      <c r="A352" s="7"/>
      <c r="B352" s="7"/>
      <c r="C352" s="13" t="str">
        <f>IF(Plan!C37="","",Plan!C37)</f>
        <v/>
      </c>
      <c r="D352" s="13" t="str">
        <f>IF(C352="","",Plan!D37)</f>
        <v/>
      </c>
      <c r="E352" s="33" t="str">
        <f>IF(OR(C352="",Parametry!$G$6=""),"",DATE(Parametry!$G$6,8,1))</f>
        <v/>
      </c>
      <c r="F352" s="34" t="str">
        <f>IF(C352="","",Plan!R37)</f>
        <v/>
      </c>
      <c r="G352" s="34" t="str">
        <f>IF(C352="","",SUMIFS(ERP!$I$9:$I$1008,ERP!$L$9:$L$1008,C352,ERP!$N$9:$N$1008,1,ERP!$M$9:$M$1008,8))</f>
        <v/>
      </c>
      <c r="H352" s="34" t="str">
        <f>IF(C352="","",IF(8&lt;=Parametry!$G$7,0,SUMIFS(Umowy!$N$9:$N$108,Umowy!$D$9:$D$108,C352,Umowy!$O$9:$O$108,8)))</f>
        <v/>
      </c>
      <c r="I352" s="34" t="str">
        <f>IF(C352="","",IF(8&lt;=Parametry!$G$7,0,IF(COUNTIFS(Prognoza!$C$9:$C$38,C352)=1,IF(ISBLANK(INDEX(Prognoza!$K$9:$V$38,MATCH($C352,Prognoza!$C$9:$C$38,0),8)),"",IF(ISNUMBER(INDEX(Prognoza!$K$9:$V$38,MATCH($C352,Prognoza!$C$9:$C$38,0),8)),INDEX(Prognoza!$K$9:$V$38,MATCH($C352,Prognoza!$C$9:$C$38,0),8),"")),"")))</f>
        <v/>
      </c>
      <c r="J352" s="35" t="str">
        <f>IF(C352="","",IF(Plan!F37="Run",IF(ISNUMBER(INDEX(Parametry!$H$18:$S$18,1,8)),INDEX(Parametry!$H$18:$S$18,1,8),""),IF(ISNUMBER(INDEX(Parametry!$H$24:$S$24,1,8)),INDEX(Parametry!$H$24:$S$24,1,8),"")))</f>
        <v/>
      </c>
      <c r="K352" s="34" t="str">
        <f>IF(C352="","",IF(8&lt;=Parametry!$G$7,0,IF(AND(ISNUMBER(I352),ISNUMBER(J352),J352&gt;=-1),I352*(1+J352),"")))</f>
        <v/>
      </c>
      <c r="L352" s="34" t="str">
        <f>IF(C352="","",IF(8&lt;=Parametry!$G$7,G352,IF(ISNUMBER(K352),H352+K352,"")))</f>
        <v/>
      </c>
      <c r="M352" s="22" t="str">
        <f t="shared" si="10"/>
        <v/>
      </c>
      <c r="N352" s="7">
        <f t="shared" si="11"/>
        <v>0</v>
      </c>
      <c r="O352" s="7"/>
      <c r="P352" s="7"/>
    </row>
    <row r="353" spans="1:16" ht="24" customHeight="1">
      <c r="A353" s="7"/>
      <c r="B353" s="7"/>
      <c r="C353" s="13" t="str">
        <f>IF(Plan!C37="","",Plan!C37)</f>
        <v/>
      </c>
      <c r="D353" s="13" t="str">
        <f>IF(C353="","",Plan!D37)</f>
        <v/>
      </c>
      <c r="E353" s="33" t="str">
        <f>IF(OR(C353="",Parametry!$G$6=""),"",DATE(Parametry!$G$6,9,1))</f>
        <v/>
      </c>
      <c r="F353" s="34" t="str">
        <f>IF(C353="","",Plan!S37)</f>
        <v/>
      </c>
      <c r="G353" s="34" t="str">
        <f>IF(C353="","",SUMIFS(ERP!$I$9:$I$1008,ERP!$L$9:$L$1008,C353,ERP!$N$9:$N$1008,1,ERP!$M$9:$M$1008,9))</f>
        <v/>
      </c>
      <c r="H353" s="34" t="str">
        <f>IF(C353="","",IF(9&lt;=Parametry!$G$7,0,SUMIFS(Umowy!$N$9:$N$108,Umowy!$D$9:$D$108,C353,Umowy!$O$9:$O$108,9)))</f>
        <v/>
      </c>
      <c r="I353" s="34" t="str">
        <f>IF(C353="","",IF(9&lt;=Parametry!$G$7,0,IF(COUNTIFS(Prognoza!$C$9:$C$38,C353)=1,IF(ISBLANK(INDEX(Prognoza!$K$9:$V$38,MATCH($C353,Prognoza!$C$9:$C$38,0),9)),"",IF(ISNUMBER(INDEX(Prognoza!$K$9:$V$38,MATCH($C353,Prognoza!$C$9:$C$38,0),9)),INDEX(Prognoza!$K$9:$V$38,MATCH($C353,Prognoza!$C$9:$C$38,0),9),"")),"")))</f>
        <v/>
      </c>
      <c r="J353" s="35" t="str">
        <f>IF(C353="","",IF(Plan!F37="Run",IF(ISNUMBER(INDEX(Parametry!$H$18:$S$18,1,9)),INDEX(Parametry!$H$18:$S$18,1,9),""),IF(ISNUMBER(INDEX(Parametry!$H$24:$S$24,1,9)),INDEX(Parametry!$H$24:$S$24,1,9),"")))</f>
        <v/>
      </c>
      <c r="K353" s="34" t="str">
        <f>IF(C353="","",IF(9&lt;=Parametry!$G$7,0,IF(AND(ISNUMBER(I353),ISNUMBER(J353),J353&gt;=-1),I353*(1+J353),"")))</f>
        <v/>
      </c>
      <c r="L353" s="34" t="str">
        <f>IF(C353="","",IF(9&lt;=Parametry!$G$7,G353,IF(ISNUMBER(K353),H353+K353,"")))</f>
        <v/>
      </c>
      <c r="M353" s="22" t="str">
        <f t="shared" si="10"/>
        <v/>
      </c>
      <c r="N353" s="7">
        <f t="shared" si="11"/>
        <v>0</v>
      </c>
      <c r="O353" s="7"/>
      <c r="P353" s="7"/>
    </row>
    <row r="354" spans="1:16" ht="24" customHeight="1">
      <c r="A354" s="7"/>
      <c r="B354" s="7"/>
      <c r="C354" s="13" t="str">
        <f>IF(Plan!C37="","",Plan!C37)</f>
        <v/>
      </c>
      <c r="D354" s="13" t="str">
        <f>IF(C354="","",Plan!D37)</f>
        <v/>
      </c>
      <c r="E354" s="33" t="str">
        <f>IF(OR(C354="",Parametry!$G$6=""),"",DATE(Parametry!$G$6,10,1))</f>
        <v/>
      </c>
      <c r="F354" s="34" t="str">
        <f>IF(C354="","",Plan!T37)</f>
        <v/>
      </c>
      <c r="G354" s="34" t="str">
        <f>IF(C354="","",SUMIFS(ERP!$I$9:$I$1008,ERP!$L$9:$L$1008,C354,ERP!$N$9:$N$1008,1,ERP!$M$9:$M$1008,10))</f>
        <v/>
      </c>
      <c r="H354" s="34" t="str">
        <f>IF(C354="","",IF(10&lt;=Parametry!$G$7,0,SUMIFS(Umowy!$N$9:$N$108,Umowy!$D$9:$D$108,C354,Umowy!$O$9:$O$108,10)))</f>
        <v/>
      </c>
      <c r="I354" s="34" t="str">
        <f>IF(C354="","",IF(10&lt;=Parametry!$G$7,0,IF(COUNTIFS(Prognoza!$C$9:$C$38,C354)=1,IF(ISBLANK(INDEX(Prognoza!$K$9:$V$38,MATCH($C354,Prognoza!$C$9:$C$38,0),10)),"",IF(ISNUMBER(INDEX(Prognoza!$K$9:$V$38,MATCH($C354,Prognoza!$C$9:$C$38,0),10)),INDEX(Prognoza!$K$9:$V$38,MATCH($C354,Prognoza!$C$9:$C$38,0),10),"")),"")))</f>
        <v/>
      </c>
      <c r="J354" s="35" t="str">
        <f>IF(C354="","",IF(Plan!F37="Run",IF(ISNUMBER(INDEX(Parametry!$H$18:$S$18,1,10)),INDEX(Parametry!$H$18:$S$18,1,10),""),IF(ISNUMBER(INDEX(Parametry!$H$24:$S$24,1,10)),INDEX(Parametry!$H$24:$S$24,1,10),"")))</f>
        <v/>
      </c>
      <c r="K354" s="34" t="str">
        <f>IF(C354="","",IF(10&lt;=Parametry!$G$7,0,IF(AND(ISNUMBER(I354),ISNUMBER(J354),J354&gt;=-1),I354*(1+J354),"")))</f>
        <v/>
      </c>
      <c r="L354" s="34" t="str">
        <f>IF(C354="","",IF(10&lt;=Parametry!$G$7,G354,IF(ISNUMBER(K354),H354+K354,"")))</f>
        <v/>
      </c>
      <c r="M354" s="22" t="str">
        <f t="shared" si="10"/>
        <v/>
      </c>
      <c r="N354" s="7">
        <f t="shared" si="11"/>
        <v>0</v>
      </c>
      <c r="O354" s="7"/>
      <c r="P354" s="7"/>
    </row>
    <row r="355" spans="1:16" ht="24" customHeight="1">
      <c r="A355" s="7"/>
      <c r="B355" s="7"/>
      <c r="C355" s="13" t="str">
        <f>IF(Plan!C37="","",Plan!C37)</f>
        <v/>
      </c>
      <c r="D355" s="13" t="str">
        <f>IF(C355="","",Plan!D37)</f>
        <v/>
      </c>
      <c r="E355" s="33" t="str">
        <f>IF(OR(C355="",Parametry!$G$6=""),"",DATE(Parametry!$G$6,11,1))</f>
        <v/>
      </c>
      <c r="F355" s="34" t="str">
        <f>IF(C355="","",Plan!U37)</f>
        <v/>
      </c>
      <c r="G355" s="34" t="str">
        <f>IF(C355="","",SUMIFS(ERP!$I$9:$I$1008,ERP!$L$9:$L$1008,C355,ERP!$N$9:$N$1008,1,ERP!$M$9:$M$1008,11))</f>
        <v/>
      </c>
      <c r="H355" s="34" t="str">
        <f>IF(C355="","",IF(11&lt;=Parametry!$G$7,0,SUMIFS(Umowy!$N$9:$N$108,Umowy!$D$9:$D$108,C355,Umowy!$O$9:$O$108,11)))</f>
        <v/>
      </c>
      <c r="I355" s="34" t="str">
        <f>IF(C355="","",IF(11&lt;=Parametry!$G$7,0,IF(COUNTIFS(Prognoza!$C$9:$C$38,C355)=1,IF(ISBLANK(INDEX(Prognoza!$K$9:$V$38,MATCH($C355,Prognoza!$C$9:$C$38,0),11)),"",IF(ISNUMBER(INDEX(Prognoza!$K$9:$V$38,MATCH($C355,Prognoza!$C$9:$C$38,0),11)),INDEX(Prognoza!$K$9:$V$38,MATCH($C355,Prognoza!$C$9:$C$38,0),11),"")),"")))</f>
        <v/>
      </c>
      <c r="J355" s="35" t="str">
        <f>IF(C355="","",IF(Plan!F37="Run",IF(ISNUMBER(INDEX(Parametry!$H$18:$S$18,1,11)),INDEX(Parametry!$H$18:$S$18,1,11),""),IF(ISNUMBER(INDEX(Parametry!$H$24:$S$24,1,11)),INDEX(Parametry!$H$24:$S$24,1,11),"")))</f>
        <v/>
      </c>
      <c r="K355" s="34" t="str">
        <f>IF(C355="","",IF(11&lt;=Parametry!$G$7,0,IF(AND(ISNUMBER(I355),ISNUMBER(J355),J355&gt;=-1),I355*(1+J355),"")))</f>
        <v/>
      </c>
      <c r="L355" s="34" t="str">
        <f>IF(C355="","",IF(11&lt;=Parametry!$G$7,G355,IF(ISNUMBER(K355),H355+K355,"")))</f>
        <v/>
      </c>
      <c r="M355" s="22" t="str">
        <f t="shared" si="10"/>
        <v/>
      </c>
      <c r="N355" s="7">
        <f t="shared" si="11"/>
        <v>0</v>
      </c>
      <c r="O355" s="7"/>
      <c r="P355" s="7"/>
    </row>
    <row r="356" spans="1:16" ht="24" customHeight="1">
      <c r="A356" s="7"/>
      <c r="B356" s="7"/>
      <c r="C356" s="13" t="str">
        <f>IF(Plan!C37="","",Plan!C37)</f>
        <v/>
      </c>
      <c r="D356" s="13" t="str">
        <f>IF(C356="","",Plan!D37)</f>
        <v/>
      </c>
      <c r="E356" s="33" t="str">
        <f>IF(OR(C356="",Parametry!$G$6=""),"",DATE(Parametry!$G$6,12,1))</f>
        <v/>
      </c>
      <c r="F356" s="34" t="str">
        <f>IF(C356="","",Plan!V37)</f>
        <v/>
      </c>
      <c r="G356" s="34" t="str">
        <f>IF(C356="","",SUMIFS(ERP!$I$9:$I$1008,ERP!$L$9:$L$1008,C356,ERP!$N$9:$N$1008,1,ERP!$M$9:$M$1008,12))</f>
        <v/>
      </c>
      <c r="H356" s="34" t="str">
        <f>IF(C356="","",IF(12&lt;=Parametry!$G$7,0,SUMIFS(Umowy!$N$9:$N$108,Umowy!$D$9:$D$108,C356,Umowy!$O$9:$O$108,12)))</f>
        <v/>
      </c>
      <c r="I356" s="34" t="str">
        <f>IF(C356="","",IF(12&lt;=Parametry!$G$7,0,IF(COUNTIFS(Prognoza!$C$9:$C$38,C356)=1,IF(ISBLANK(INDEX(Prognoza!$K$9:$V$38,MATCH($C356,Prognoza!$C$9:$C$38,0),12)),"",IF(ISNUMBER(INDEX(Prognoza!$K$9:$V$38,MATCH($C356,Prognoza!$C$9:$C$38,0),12)),INDEX(Prognoza!$K$9:$V$38,MATCH($C356,Prognoza!$C$9:$C$38,0),12),"")),"")))</f>
        <v/>
      </c>
      <c r="J356" s="35" t="str">
        <f>IF(C356="","",IF(Plan!F37="Run",IF(ISNUMBER(INDEX(Parametry!$H$18:$S$18,1,12)),INDEX(Parametry!$H$18:$S$18,1,12),""),IF(ISNUMBER(INDEX(Parametry!$H$24:$S$24,1,12)),INDEX(Parametry!$H$24:$S$24,1,12),"")))</f>
        <v/>
      </c>
      <c r="K356" s="34" t="str">
        <f>IF(C356="","",IF(12&lt;=Parametry!$G$7,0,IF(AND(ISNUMBER(I356),ISNUMBER(J356),J356&gt;=-1),I356*(1+J356),"")))</f>
        <v/>
      </c>
      <c r="L356" s="34" t="str">
        <f>IF(C356="","",IF(12&lt;=Parametry!$G$7,G356,IF(ISNUMBER(K356),H356+K356,"")))</f>
        <v/>
      </c>
      <c r="M356" s="22" t="str">
        <f t="shared" si="10"/>
        <v/>
      </c>
      <c r="N356" s="7">
        <f t="shared" si="11"/>
        <v>0</v>
      </c>
      <c r="O356" s="7"/>
      <c r="P356" s="7"/>
    </row>
    <row r="357" spans="1:16" ht="24" customHeight="1">
      <c r="A357" s="7"/>
      <c r="B357" s="7"/>
      <c r="C357" s="13" t="str">
        <f>IF(Plan!C38="","",Plan!C38)</f>
        <v/>
      </c>
      <c r="D357" s="13" t="str">
        <f>IF(C357="","",Plan!D38)</f>
        <v/>
      </c>
      <c r="E357" s="33" t="str">
        <f>IF(OR(C357="",Parametry!$G$6=""),"",DATE(Parametry!$G$6,1,1))</f>
        <v/>
      </c>
      <c r="F357" s="34" t="str">
        <f>IF(C357="","",Plan!K38)</f>
        <v/>
      </c>
      <c r="G357" s="34" t="str">
        <f>IF(C357="","",SUMIFS(ERP!$I$9:$I$1008,ERP!$L$9:$L$1008,C357,ERP!$N$9:$N$1008,1,ERP!$M$9:$M$1008,1))</f>
        <v/>
      </c>
      <c r="H357" s="34" t="str">
        <f>IF(C357="","",IF(1&lt;=Parametry!$G$7,0,SUMIFS(Umowy!$N$9:$N$108,Umowy!$D$9:$D$108,C357,Umowy!$O$9:$O$108,1)))</f>
        <v/>
      </c>
      <c r="I357" s="34" t="str">
        <f>IF(C357="","",IF(1&lt;=Parametry!$G$7,0,IF(COUNTIFS(Prognoza!$C$9:$C$38,C357)=1,IF(ISBLANK(INDEX(Prognoza!$K$9:$V$38,MATCH($C357,Prognoza!$C$9:$C$38,0),1)),"",IF(ISNUMBER(INDEX(Prognoza!$K$9:$V$38,MATCH($C357,Prognoza!$C$9:$C$38,0),1)),INDEX(Prognoza!$K$9:$V$38,MATCH($C357,Prognoza!$C$9:$C$38,0),1),"")),"")))</f>
        <v/>
      </c>
      <c r="J357" s="35" t="str">
        <f>IF(C357="","",IF(Plan!F38="Run",IF(ISNUMBER(INDEX(Parametry!$H$18:$S$18,1,1)),INDEX(Parametry!$H$18:$S$18,1,1),""),IF(ISNUMBER(INDEX(Parametry!$H$24:$S$24,1,1)),INDEX(Parametry!$H$24:$S$24,1,1),"")))</f>
        <v/>
      </c>
      <c r="K357" s="34" t="str">
        <f>IF(C357="","",IF(1&lt;=Parametry!$G$7,0,IF(AND(ISNUMBER(I357),ISNUMBER(J357),J357&gt;=-1),I357*(1+J357),"")))</f>
        <v/>
      </c>
      <c r="L357" s="34" t="str">
        <f>IF(C357="","",IF(1&lt;=Parametry!$G$7,G357,IF(ISNUMBER(K357),H357+K357,"")))</f>
        <v/>
      </c>
      <c r="M357" s="22" t="str">
        <f t="shared" si="10"/>
        <v/>
      </c>
      <c r="N357" s="7">
        <f t="shared" si="11"/>
        <v>0</v>
      </c>
      <c r="O357" s="7"/>
      <c r="P357" s="7"/>
    </row>
    <row r="358" spans="1:16" ht="24" customHeight="1">
      <c r="A358" s="7"/>
      <c r="B358" s="7"/>
      <c r="C358" s="13" t="str">
        <f>IF(Plan!C38="","",Plan!C38)</f>
        <v/>
      </c>
      <c r="D358" s="13" t="str">
        <f>IF(C358="","",Plan!D38)</f>
        <v/>
      </c>
      <c r="E358" s="33" t="str">
        <f>IF(OR(C358="",Parametry!$G$6=""),"",DATE(Parametry!$G$6,2,1))</f>
        <v/>
      </c>
      <c r="F358" s="34" t="str">
        <f>IF(C358="","",Plan!L38)</f>
        <v/>
      </c>
      <c r="G358" s="34" t="str">
        <f>IF(C358="","",SUMIFS(ERP!$I$9:$I$1008,ERP!$L$9:$L$1008,C358,ERP!$N$9:$N$1008,1,ERP!$M$9:$M$1008,2))</f>
        <v/>
      </c>
      <c r="H358" s="34" t="str">
        <f>IF(C358="","",IF(2&lt;=Parametry!$G$7,0,SUMIFS(Umowy!$N$9:$N$108,Umowy!$D$9:$D$108,C358,Umowy!$O$9:$O$108,2)))</f>
        <v/>
      </c>
      <c r="I358" s="34" t="str">
        <f>IF(C358="","",IF(2&lt;=Parametry!$G$7,0,IF(COUNTIFS(Prognoza!$C$9:$C$38,C358)=1,IF(ISBLANK(INDEX(Prognoza!$K$9:$V$38,MATCH($C358,Prognoza!$C$9:$C$38,0),2)),"",IF(ISNUMBER(INDEX(Prognoza!$K$9:$V$38,MATCH($C358,Prognoza!$C$9:$C$38,0),2)),INDEX(Prognoza!$K$9:$V$38,MATCH($C358,Prognoza!$C$9:$C$38,0),2),"")),"")))</f>
        <v/>
      </c>
      <c r="J358" s="35" t="str">
        <f>IF(C358="","",IF(Plan!F38="Run",IF(ISNUMBER(INDEX(Parametry!$H$18:$S$18,1,2)),INDEX(Parametry!$H$18:$S$18,1,2),""),IF(ISNUMBER(INDEX(Parametry!$H$24:$S$24,1,2)),INDEX(Parametry!$H$24:$S$24,1,2),"")))</f>
        <v/>
      </c>
      <c r="K358" s="34" t="str">
        <f>IF(C358="","",IF(2&lt;=Parametry!$G$7,0,IF(AND(ISNUMBER(I358),ISNUMBER(J358),J358&gt;=-1),I358*(1+J358),"")))</f>
        <v/>
      </c>
      <c r="L358" s="34" t="str">
        <f>IF(C358="","",IF(2&lt;=Parametry!$G$7,G358,IF(ISNUMBER(K358),H358+K358,"")))</f>
        <v/>
      </c>
      <c r="M358" s="22" t="str">
        <f t="shared" si="10"/>
        <v/>
      </c>
      <c r="N358" s="7">
        <f t="shared" si="11"/>
        <v>0</v>
      </c>
      <c r="O358" s="7"/>
      <c r="P358" s="7"/>
    </row>
    <row r="359" spans="1:16" ht="24" customHeight="1">
      <c r="A359" s="7"/>
      <c r="B359" s="7"/>
      <c r="C359" s="13" t="str">
        <f>IF(Plan!C38="","",Plan!C38)</f>
        <v/>
      </c>
      <c r="D359" s="13" t="str">
        <f>IF(C359="","",Plan!D38)</f>
        <v/>
      </c>
      <c r="E359" s="33" t="str">
        <f>IF(OR(C359="",Parametry!$G$6=""),"",DATE(Parametry!$G$6,3,1))</f>
        <v/>
      </c>
      <c r="F359" s="34" t="str">
        <f>IF(C359="","",Plan!M38)</f>
        <v/>
      </c>
      <c r="G359" s="34" t="str">
        <f>IF(C359="","",SUMIFS(ERP!$I$9:$I$1008,ERP!$L$9:$L$1008,C359,ERP!$N$9:$N$1008,1,ERP!$M$9:$M$1008,3))</f>
        <v/>
      </c>
      <c r="H359" s="34" t="str">
        <f>IF(C359="","",IF(3&lt;=Parametry!$G$7,0,SUMIFS(Umowy!$N$9:$N$108,Umowy!$D$9:$D$108,C359,Umowy!$O$9:$O$108,3)))</f>
        <v/>
      </c>
      <c r="I359" s="34" t="str">
        <f>IF(C359="","",IF(3&lt;=Parametry!$G$7,0,IF(COUNTIFS(Prognoza!$C$9:$C$38,C359)=1,IF(ISBLANK(INDEX(Prognoza!$K$9:$V$38,MATCH($C359,Prognoza!$C$9:$C$38,0),3)),"",IF(ISNUMBER(INDEX(Prognoza!$K$9:$V$38,MATCH($C359,Prognoza!$C$9:$C$38,0),3)),INDEX(Prognoza!$K$9:$V$38,MATCH($C359,Prognoza!$C$9:$C$38,0),3),"")),"")))</f>
        <v/>
      </c>
      <c r="J359" s="35" t="str">
        <f>IF(C359="","",IF(Plan!F38="Run",IF(ISNUMBER(INDEX(Parametry!$H$18:$S$18,1,3)),INDEX(Parametry!$H$18:$S$18,1,3),""),IF(ISNUMBER(INDEX(Parametry!$H$24:$S$24,1,3)),INDEX(Parametry!$H$24:$S$24,1,3),"")))</f>
        <v/>
      </c>
      <c r="K359" s="34" t="str">
        <f>IF(C359="","",IF(3&lt;=Parametry!$G$7,0,IF(AND(ISNUMBER(I359),ISNUMBER(J359),J359&gt;=-1),I359*(1+J359),"")))</f>
        <v/>
      </c>
      <c r="L359" s="34" t="str">
        <f>IF(C359="","",IF(3&lt;=Parametry!$G$7,G359,IF(ISNUMBER(K359),H359+K359,"")))</f>
        <v/>
      </c>
      <c r="M359" s="22" t="str">
        <f t="shared" si="10"/>
        <v/>
      </c>
      <c r="N359" s="7">
        <f t="shared" si="11"/>
        <v>0</v>
      </c>
      <c r="O359" s="7"/>
      <c r="P359" s="7"/>
    </row>
    <row r="360" spans="1:16" ht="24" customHeight="1">
      <c r="A360" s="7"/>
      <c r="B360" s="7"/>
      <c r="C360" s="13" t="str">
        <f>IF(Plan!C38="","",Plan!C38)</f>
        <v/>
      </c>
      <c r="D360" s="13" t="str">
        <f>IF(C360="","",Plan!D38)</f>
        <v/>
      </c>
      <c r="E360" s="33" t="str">
        <f>IF(OR(C360="",Parametry!$G$6=""),"",DATE(Parametry!$G$6,4,1))</f>
        <v/>
      </c>
      <c r="F360" s="34" t="str">
        <f>IF(C360="","",Plan!N38)</f>
        <v/>
      </c>
      <c r="G360" s="34" t="str">
        <f>IF(C360="","",SUMIFS(ERP!$I$9:$I$1008,ERP!$L$9:$L$1008,C360,ERP!$N$9:$N$1008,1,ERP!$M$9:$M$1008,4))</f>
        <v/>
      </c>
      <c r="H360" s="34" t="str">
        <f>IF(C360="","",IF(4&lt;=Parametry!$G$7,0,SUMIFS(Umowy!$N$9:$N$108,Umowy!$D$9:$D$108,C360,Umowy!$O$9:$O$108,4)))</f>
        <v/>
      </c>
      <c r="I360" s="34" t="str">
        <f>IF(C360="","",IF(4&lt;=Parametry!$G$7,0,IF(COUNTIFS(Prognoza!$C$9:$C$38,C360)=1,IF(ISBLANK(INDEX(Prognoza!$K$9:$V$38,MATCH($C360,Prognoza!$C$9:$C$38,0),4)),"",IF(ISNUMBER(INDEX(Prognoza!$K$9:$V$38,MATCH($C360,Prognoza!$C$9:$C$38,0),4)),INDEX(Prognoza!$K$9:$V$38,MATCH($C360,Prognoza!$C$9:$C$38,0),4),"")),"")))</f>
        <v/>
      </c>
      <c r="J360" s="35" t="str">
        <f>IF(C360="","",IF(Plan!F38="Run",IF(ISNUMBER(INDEX(Parametry!$H$18:$S$18,1,4)),INDEX(Parametry!$H$18:$S$18,1,4),""),IF(ISNUMBER(INDEX(Parametry!$H$24:$S$24,1,4)),INDEX(Parametry!$H$24:$S$24,1,4),"")))</f>
        <v/>
      </c>
      <c r="K360" s="34" t="str">
        <f>IF(C360="","",IF(4&lt;=Parametry!$G$7,0,IF(AND(ISNUMBER(I360),ISNUMBER(J360),J360&gt;=-1),I360*(1+J360),"")))</f>
        <v/>
      </c>
      <c r="L360" s="34" t="str">
        <f>IF(C360="","",IF(4&lt;=Parametry!$G$7,G360,IF(ISNUMBER(K360),H360+K360,"")))</f>
        <v/>
      </c>
      <c r="M360" s="22" t="str">
        <f t="shared" si="10"/>
        <v/>
      </c>
      <c r="N360" s="7">
        <f t="shared" si="11"/>
        <v>0</v>
      </c>
      <c r="O360" s="7"/>
      <c r="P360" s="7"/>
    </row>
    <row r="361" spans="1:16" ht="24" customHeight="1">
      <c r="A361" s="7"/>
      <c r="B361" s="7"/>
      <c r="C361" s="13" t="str">
        <f>IF(Plan!C38="","",Plan!C38)</f>
        <v/>
      </c>
      <c r="D361" s="13" t="str">
        <f>IF(C361="","",Plan!D38)</f>
        <v/>
      </c>
      <c r="E361" s="33" t="str">
        <f>IF(OR(C361="",Parametry!$G$6=""),"",DATE(Parametry!$G$6,5,1))</f>
        <v/>
      </c>
      <c r="F361" s="34" t="str">
        <f>IF(C361="","",Plan!O38)</f>
        <v/>
      </c>
      <c r="G361" s="34" t="str">
        <f>IF(C361="","",SUMIFS(ERP!$I$9:$I$1008,ERP!$L$9:$L$1008,C361,ERP!$N$9:$N$1008,1,ERP!$M$9:$M$1008,5))</f>
        <v/>
      </c>
      <c r="H361" s="34" t="str">
        <f>IF(C361="","",IF(5&lt;=Parametry!$G$7,0,SUMIFS(Umowy!$N$9:$N$108,Umowy!$D$9:$D$108,C361,Umowy!$O$9:$O$108,5)))</f>
        <v/>
      </c>
      <c r="I361" s="34" t="str">
        <f>IF(C361="","",IF(5&lt;=Parametry!$G$7,0,IF(COUNTIFS(Prognoza!$C$9:$C$38,C361)=1,IF(ISBLANK(INDEX(Prognoza!$K$9:$V$38,MATCH($C361,Prognoza!$C$9:$C$38,0),5)),"",IF(ISNUMBER(INDEX(Prognoza!$K$9:$V$38,MATCH($C361,Prognoza!$C$9:$C$38,0),5)),INDEX(Prognoza!$K$9:$V$38,MATCH($C361,Prognoza!$C$9:$C$38,0),5),"")),"")))</f>
        <v/>
      </c>
      <c r="J361" s="35" t="str">
        <f>IF(C361="","",IF(Plan!F38="Run",IF(ISNUMBER(INDEX(Parametry!$H$18:$S$18,1,5)),INDEX(Parametry!$H$18:$S$18,1,5),""),IF(ISNUMBER(INDEX(Parametry!$H$24:$S$24,1,5)),INDEX(Parametry!$H$24:$S$24,1,5),"")))</f>
        <v/>
      </c>
      <c r="K361" s="34" t="str">
        <f>IF(C361="","",IF(5&lt;=Parametry!$G$7,0,IF(AND(ISNUMBER(I361),ISNUMBER(J361),J361&gt;=-1),I361*(1+J361),"")))</f>
        <v/>
      </c>
      <c r="L361" s="34" t="str">
        <f>IF(C361="","",IF(5&lt;=Parametry!$G$7,G361,IF(ISNUMBER(K361),H361+K361,"")))</f>
        <v/>
      </c>
      <c r="M361" s="22" t="str">
        <f t="shared" si="10"/>
        <v/>
      </c>
      <c r="N361" s="7">
        <f t="shared" si="11"/>
        <v>0</v>
      </c>
      <c r="O361" s="7"/>
      <c r="P361" s="7"/>
    </row>
    <row r="362" spans="1:16" ht="24" customHeight="1">
      <c r="A362" s="7"/>
      <c r="B362" s="7"/>
      <c r="C362" s="13" t="str">
        <f>IF(Plan!C38="","",Plan!C38)</f>
        <v/>
      </c>
      <c r="D362" s="13" t="str">
        <f>IF(C362="","",Plan!D38)</f>
        <v/>
      </c>
      <c r="E362" s="33" t="str">
        <f>IF(OR(C362="",Parametry!$G$6=""),"",DATE(Parametry!$G$6,6,1))</f>
        <v/>
      </c>
      <c r="F362" s="34" t="str">
        <f>IF(C362="","",Plan!P38)</f>
        <v/>
      </c>
      <c r="G362" s="34" t="str">
        <f>IF(C362="","",SUMIFS(ERP!$I$9:$I$1008,ERP!$L$9:$L$1008,C362,ERP!$N$9:$N$1008,1,ERP!$M$9:$M$1008,6))</f>
        <v/>
      </c>
      <c r="H362" s="34" t="str">
        <f>IF(C362="","",IF(6&lt;=Parametry!$G$7,0,SUMIFS(Umowy!$N$9:$N$108,Umowy!$D$9:$D$108,C362,Umowy!$O$9:$O$108,6)))</f>
        <v/>
      </c>
      <c r="I362" s="34" t="str">
        <f>IF(C362="","",IF(6&lt;=Parametry!$G$7,0,IF(COUNTIFS(Prognoza!$C$9:$C$38,C362)=1,IF(ISBLANK(INDEX(Prognoza!$K$9:$V$38,MATCH($C362,Prognoza!$C$9:$C$38,0),6)),"",IF(ISNUMBER(INDEX(Prognoza!$K$9:$V$38,MATCH($C362,Prognoza!$C$9:$C$38,0),6)),INDEX(Prognoza!$K$9:$V$38,MATCH($C362,Prognoza!$C$9:$C$38,0),6),"")),"")))</f>
        <v/>
      </c>
      <c r="J362" s="35" t="str">
        <f>IF(C362="","",IF(Plan!F38="Run",IF(ISNUMBER(INDEX(Parametry!$H$18:$S$18,1,6)),INDEX(Parametry!$H$18:$S$18,1,6),""),IF(ISNUMBER(INDEX(Parametry!$H$24:$S$24,1,6)),INDEX(Parametry!$H$24:$S$24,1,6),"")))</f>
        <v/>
      </c>
      <c r="K362" s="34" t="str">
        <f>IF(C362="","",IF(6&lt;=Parametry!$G$7,0,IF(AND(ISNUMBER(I362),ISNUMBER(J362),J362&gt;=-1),I362*(1+J362),"")))</f>
        <v/>
      </c>
      <c r="L362" s="34" t="str">
        <f>IF(C362="","",IF(6&lt;=Parametry!$G$7,G362,IF(ISNUMBER(K362),H362+K362,"")))</f>
        <v/>
      </c>
      <c r="M362" s="22" t="str">
        <f t="shared" si="10"/>
        <v/>
      </c>
      <c r="N362" s="7">
        <f t="shared" si="11"/>
        <v>0</v>
      </c>
      <c r="O362" s="7"/>
      <c r="P362" s="7"/>
    </row>
    <row r="363" spans="1:16" ht="24" customHeight="1">
      <c r="A363" s="7"/>
      <c r="B363" s="7"/>
      <c r="C363" s="13" t="str">
        <f>IF(Plan!C38="","",Plan!C38)</f>
        <v/>
      </c>
      <c r="D363" s="13" t="str">
        <f>IF(C363="","",Plan!D38)</f>
        <v/>
      </c>
      <c r="E363" s="33" t="str">
        <f>IF(OR(C363="",Parametry!$G$6=""),"",DATE(Parametry!$G$6,7,1))</f>
        <v/>
      </c>
      <c r="F363" s="34" t="str">
        <f>IF(C363="","",Plan!Q38)</f>
        <v/>
      </c>
      <c r="G363" s="34" t="str">
        <f>IF(C363="","",SUMIFS(ERP!$I$9:$I$1008,ERP!$L$9:$L$1008,C363,ERP!$N$9:$N$1008,1,ERP!$M$9:$M$1008,7))</f>
        <v/>
      </c>
      <c r="H363" s="34" t="str">
        <f>IF(C363="","",IF(7&lt;=Parametry!$G$7,0,SUMIFS(Umowy!$N$9:$N$108,Umowy!$D$9:$D$108,C363,Umowy!$O$9:$O$108,7)))</f>
        <v/>
      </c>
      <c r="I363" s="34" t="str">
        <f>IF(C363="","",IF(7&lt;=Parametry!$G$7,0,IF(COUNTIFS(Prognoza!$C$9:$C$38,C363)=1,IF(ISBLANK(INDEX(Prognoza!$K$9:$V$38,MATCH($C363,Prognoza!$C$9:$C$38,0),7)),"",IF(ISNUMBER(INDEX(Prognoza!$K$9:$V$38,MATCH($C363,Prognoza!$C$9:$C$38,0),7)),INDEX(Prognoza!$K$9:$V$38,MATCH($C363,Prognoza!$C$9:$C$38,0),7),"")),"")))</f>
        <v/>
      </c>
      <c r="J363" s="35" t="str">
        <f>IF(C363="","",IF(Plan!F38="Run",IF(ISNUMBER(INDEX(Parametry!$H$18:$S$18,1,7)),INDEX(Parametry!$H$18:$S$18,1,7),""),IF(ISNUMBER(INDEX(Parametry!$H$24:$S$24,1,7)),INDEX(Parametry!$H$24:$S$24,1,7),"")))</f>
        <v/>
      </c>
      <c r="K363" s="34" t="str">
        <f>IF(C363="","",IF(7&lt;=Parametry!$G$7,0,IF(AND(ISNUMBER(I363),ISNUMBER(J363),J363&gt;=-1),I363*(1+J363),"")))</f>
        <v/>
      </c>
      <c r="L363" s="34" t="str">
        <f>IF(C363="","",IF(7&lt;=Parametry!$G$7,G363,IF(ISNUMBER(K363),H363+K363,"")))</f>
        <v/>
      </c>
      <c r="M363" s="22" t="str">
        <f t="shared" si="10"/>
        <v/>
      </c>
      <c r="N363" s="7">
        <f t="shared" si="11"/>
        <v>0</v>
      </c>
      <c r="O363" s="7"/>
      <c r="P363" s="7"/>
    </row>
    <row r="364" spans="1:16" ht="24" customHeight="1">
      <c r="A364" s="7"/>
      <c r="B364" s="7"/>
      <c r="C364" s="13" t="str">
        <f>IF(Plan!C38="","",Plan!C38)</f>
        <v/>
      </c>
      <c r="D364" s="13" t="str">
        <f>IF(C364="","",Plan!D38)</f>
        <v/>
      </c>
      <c r="E364" s="33" t="str">
        <f>IF(OR(C364="",Parametry!$G$6=""),"",DATE(Parametry!$G$6,8,1))</f>
        <v/>
      </c>
      <c r="F364" s="34" t="str">
        <f>IF(C364="","",Plan!R38)</f>
        <v/>
      </c>
      <c r="G364" s="34" t="str">
        <f>IF(C364="","",SUMIFS(ERP!$I$9:$I$1008,ERP!$L$9:$L$1008,C364,ERP!$N$9:$N$1008,1,ERP!$M$9:$M$1008,8))</f>
        <v/>
      </c>
      <c r="H364" s="34" t="str">
        <f>IF(C364="","",IF(8&lt;=Parametry!$G$7,0,SUMIFS(Umowy!$N$9:$N$108,Umowy!$D$9:$D$108,C364,Umowy!$O$9:$O$108,8)))</f>
        <v/>
      </c>
      <c r="I364" s="34" t="str">
        <f>IF(C364="","",IF(8&lt;=Parametry!$G$7,0,IF(COUNTIFS(Prognoza!$C$9:$C$38,C364)=1,IF(ISBLANK(INDEX(Prognoza!$K$9:$V$38,MATCH($C364,Prognoza!$C$9:$C$38,0),8)),"",IF(ISNUMBER(INDEX(Prognoza!$K$9:$V$38,MATCH($C364,Prognoza!$C$9:$C$38,0),8)),INDEX(Prognoza!$K$9:$V$38,MATCH($C364,Prognoza!$C$9:$C$38,0),8),"")),"")))</f>
        <v/>
      </c>
      <c r="J364" s="35" t="str">
        <f>IF(C364="","",IF(Plan!F38="Run",IF(ISNUMBER(INDEX(Parametry!$H$18:$S$18,1,8)),INDEX(Parametry!$H$18:$S$18,1,8),""),IF(ISNUMBER(INDEX(Parametry!$H$24:$S$24,1,8)),INDEX(Parametry!$H$24:$S$24,1,8),"")))</f>
        <v/>
      </c>
      <c r="K364" s="34" t="str">
        <f>IF(C364="","",IF(8&lt;=Parametry!$G$7,0,IF(AND(ISNUMBER(I364),ISNUMBER(J364),J364&gt;=-1),I364*(1+J364),"")))</f>
        <v/>
      </c>
      <c r="L364" s="34" t="str">
        <f>IF(C364="","",IF(8&lt;=Parametry!$G$7,G364,IF(ISNUMBER(K364),H364+K364,"")))</f>
        <v/>
      </c>
      <c r="M364" s="22" t="str">
        <f t="shared" si="10"/>
        <v/>
      </c>
      <c r="N364" s="7">
        <f t="shared" si="11"/>
        <v>0</v>
      </c>
      <c r="O364" s="7"/>
      <c r="P364" s="7"/>
    </row>
    <row r="365" spans="1:16" ht="24" customHeight="1">
      <c r="A365" s="7"/>
      <c r="B365" s="7"/>
      <c r="C365" s="13" t="str">
        <f>IF(Plan!C38="","",Plan!C38)</f>
        <v/>
      </c>
      <c r="D365" s="13" t="str">
        <f>IF(C365="","",Plan!D38)</f>
        <v/>
      </c>
      <c r="E365" s="33" t="str">
        <f>IF(OR(C365="",Parametry!$G$6=""),"",DATE(Parametry!$G$6,9,1))</f>
        <v/>
      </c>
      <c r="F365" s="34" t="str">
        <f>IF(C365="","",Plan!S38)</f>
        <v/>
      </c>
      <c r="G365" s="34" t="str">
        <f>IF(C365="","",SUMIFS(ERP!$I$9:$I$1008,ERP!$L$9:$L$1008,C365,ERP!$N$9:$N$1008,1,ERP!$M$9:$M$1008,9))</f>
        <v/>
      </c>
      <c r="H365" s="34" t="str">
        <f>IF(C365="","",IF(9&lt;=Parametry!$G$7,0,SUMIFS(Umowy!$N$9:$N$108,Umowy!$D$9:$D$108,C365,Umowy!$O$9:$O$108,9)))</f>
        <v/>
      </c>
      <c r="I365" s="34" t="str">
        <f>IF(C365="","",IF(9&lt;=Parametry!$G$7,0,IF(COUNTIFS(Prognoza!$C$9:$C$38,C365)=1,IF(ISBLANK(INDEX(Prognoza!$K$9:$V$38,MATCH($C365,Prognoza!$C$9:$C$38,0),9)),"",IF(ISNUMBER(INDEX(Prognoza!$K$9:$V$38,MATCH($C365,Prognoza!$C$9:$C$38,0),9)),INDEX(Prognoza!$K$9:$V$38,MATCH($C365,Prognoza!$C$9:$C$38,0),9),"")),"")))</f>
        <v/>
      </c>
      <c r="J365" s="35" t="str">
        <f>IF(C365="","",IF(Plan!F38="Run",IF(ISNUMBER(INDEX(Parametry!$H$18:$S$18,1,9)),INDEX(Parametry!$H$18:$S$18,1,9),""),IF(ISNUMBER(INDEX(Parametry!$H$24:$S$24,1,9)),INDEX(Parametry!$H$24:$S$24,1,9),"")))</f>
        <v/>
      </c>
      <c r="K365" s="34" t="str">
        <f>IF(C365="","",IF(9&lt;=Parametry!$G$7,0,IF(AND(ISNUMBER(I365),ISNUMBER(J365),J365&gt;=-1),I365*(1+J365),"")))</f>
        <v/>
      </c>
      <c r="L365" s="34" t="str">
        <f>IF(C365="","",IF(9&lt;=Parametry!$G$7,G365,IF(ISNUMBER(K365),H365+K365,"")))</f>
        <v/>
      </c>
      <c r="M365" s="22" t="str">
        <f t="shared" si="10"/>
        <v/>
      </c>
      <c r="N365" s="7">
        <f t="shared" si="11"/>
        <v>0</v>
      </c>
      <c r="O365" s="7"/>
      <c r="P365" s="7"/>
    </row>
    <row r="366" spans="1:16" ht="24" customHeight="1">
      <c r="A366" s="7"/>
      <c r="B366" s="7"/>
      <c r="C366" s="13" t="str">
        <f>IF(Plan!C38="","",Plan!C38)</f>
        <v/>
      </c>
      <c r="D366" s="13" t="str">
        <f>IF(C366="","",Plan!D38)</f>
        <v/>
      </c>
      <c r="E366" s="33" t="str">
        <f>IF(OR(C366="",Parametry!$G$6=""),"",DATE(Parametry!$G$6,10,1))</f>
        <v/>
      </c>
      <c r="F366" s="34" t="str">
        <f>IF(C366="","",Plan!T38)</f>
        <v/>
      </c>
      <c r="G366" s="34" t="str">
        <f>IF(C366="","",SUMIFS(ERP!$I$9:$I$1008,ERP!$L$9:$L$1008,C366,ERP!$N$9:$N$1008,1,ERP!$M$9:$M$1008,10))</f>
        <v/>
      </c>
      <c r="H366" s="34" t="str">
        <f>IF(C366="","",IF(10&lt;=Parametry!$G$7,0,SUMIFS(Umowy!$N$9:$N$108,Umowy!$D$9:$D$108,C366,Umowy!$O$9:$O$108,10)))</f>
        <v/>
      </c>
      <c r="I366" s="34" t="str">
        <f>IF(C366="","",IF(10&lt;=Parametry!$G$7,0,IF(COUNTIFS(Prognoza!$C$9:$C$38,C366)=1,IF(ISBLANK(INDEX(Prognoza!$K$9:$V$38,MATCH($C366,Prognoza!$C$9:$C$38,0),10)),"",IF(ISNUMBER(INDEX(Prognoza!$K$9:$V$38,MATCH($C366,Prognoza!$C$9:$C$38,0),10)),INDEX(Prognoza!$K$9:$V$38,MATCH($C366,Prognoza!$C$9:$C$38,0),10),"")),"")))</f>
        <v/>
      </c>
      <c r="J366" s="35" t="str">
        <f>IF(C366="","",IF(Plan!F38="Run",IF(ISNUMBER(INDEX(Parametry!$H$18:$S$18,1,10)),INDEX(Parametry!$H$18:$S$18,1,10),""),IF(ISNUMBER(INDEX(Parametry!$H$24:$S$24,1,10)),INDEX(Parametry!$H$24:$S$24,1,10),"")))</f>
        <v/>
      </c>
      <c r="K366" s="34" t="str">
        <f>IF(C366="","",IF(10&lt;=Parametry!$G$7,0,IF(AND(ISNUMBER(I366),ISNUMBER(J366),J366&gt;=-1),I366*(1+J366),"")))</f>
        <v/>
      </c>
      <c r="L366" s="34" t="str">
        <f>IF(C366="","",IF(10&lt;=Parametry!$G$7,G366,IF(ISNUMBER(K366),H366+K366,"")))</f>
        <v/>
      </c>
      <c r="M366" s="22" t="str">
        <f t="shared" si="10"/>
        <v/>
      </c>
      <c r="N366" s="7">
        <f t="shared" si="11"/>
        <v>0</v>
      </c>
      <c r="O366" s="7"/>
      <c r="P366" s="7"/>
    </row>
    <row r="367" spans="1:16" ht="24" customHeight="1">
      <c r="A367" s="7"/>
      <c r="B367" s="7"/>
      <c r="C367" s="13" t="str">
        <f>IF(Plan!C38="","",Plan!C38)</f>
        <v/>
      </c>
      <c r="D367" s="13" t="str">
        <f>IF(C367="","",Plan!D38)</f>
        <v/>
      </c>
      <c r="E367" s="33" t="str">
        <f>IF(OR(C367="",Parametry!$G$6=""),"",DATE(Parametry!$G$6,11,1))</f>
        <v/>
      </c>
      <c r="F367" s="34" t="str">
        <f>IF(C367="","",Plan!U38)</f>
        <v/>
      </c>
      <c r="G367" s="34" t="str">
        <f>IF(C367="","",SUMIFS(ERP!$I$9:$I$1008,ERP!$L$9:$L$1008,C367,ERP!$N$9:$N$1008,1,ERP!$M$9:$M$1008,11))</f>
        <v/>
      </c>
      <c r="H367" s="34" t="str">
        <f>IF(C367="","",IF(11&lt;=Parametry!$G$7,0,SUMIFS(Umowy!$N$9:$N$108,Umowy!$D$9:$D$108,C367,Umowy!$O$9:$O$108,11)))</f>
        <v/>
      </c>
      <c r="I367" s="34" t="str">
        <f>IF(C367="","",IF(11&lt;=Parametry!$G$7,0,IF(COUNTIFS(Prognoza!$C$9:$C$38,C367)=1,IF(ISBLANK(INDEX(Prognoza!$K$9:$V$38,MATCH($C367,Prognoza!$C$9:$C$38,0),11)),"",IF(ISNUMBER(INDEX(Prognoza!$K$9:$V$38,MATCH($C367,Prognoza!$C$9:$C$38,0),11)),INDEX(Prognoza!$K$9:$V$38,MATCH($C367,Prognoza!$C$9:$C$38,0),11),"")),"")))</f>
        <v/>
      </c>
      <c r="J367" s="35" t="str">
        <f>IF(C367="","",IF(Plan!F38="Run",IF(ISNUMBER(INDEX(Parametry!$H$18:$S$18,1,11)),INDEX(Parametry!$H$18:$S$18,1,11),""),IF(ISNUMBER(INDEX(Parametry!$H$24:$S$24,1,11)),INDEX(Parametry!$H$24:$S$24,1,11),"")))</f>
        <v/>
      </c>
      <c r="K367" s="34" t="str">
        <f>IF(C367="","",IF(11&lt;=Parametry!$G$7,0,IF(AND(ISNUMBER(I367),ISNUMBER(J367),J367&gt;=-1),I367*(1+J367),"")))</f>
        <v/>
      </c>
      <c r="L367" s="34" t="str">
        <f>IF(C367="","",IF(11&lt;=Parametry!$G$7,G367,IF(ISNUMBER(K367),H367+K367,"")))</f>
        <v/>
      </c>
      <c r="M367" s="22" t="str">
        <f t="shared" si="10"/>
        <v/>
      </c>
      <c r="N367" s="7">
        <f t="shared" si="11"/>
        <v>0</v>
      </c>
      <c r="O367" s="7"/>
      <c r="P367" s="7"/>
    </row>
    <row r="368" spans="1:16" ht="24" customHeight="1">
      <c r="A368" s="7"/>
      <c r="B368" s="7"/>
      <c r="C368" s="13" t="str">
        <f>IF(Plan!C38="","",Plan!C38)</f>
        <v/>
      </c>
      <c r="D368" s="13" t="str">
        <f>IF(C368="","",Plan!D38)</f>
        <v/>
      </c>
      <c r="E368" s="33" t="str">
        <f>IF(OR(C368="",Parametry!$G$6=""),"",DATE(Parametry!$G$6,12,1))</f>
        <v/>
      </c>
      <c r="F368" s="34" t="str">
        <f>IF(C368="","",Plan!V38)</f>
        <v/>
      </c>
      <c r="G368" s="34" t="str">
        <f>IF(C368="","",SUMIFS(ERP!$I$9:$I$1008,ERP!$L$9:$L$1008,C368,ERP!$N$9:$N$1008,1,ERP!$M$9:$M$1008,12))</f>
        <v/>
      </c>
      <c r="H368" s="34" t="str">
        <f>IF(C368="","",IF(12&lt;=Parametry!$G$7,0,SUMIFS(Umowy!$N$9:$N$108,Umowy!$D$9:$D$108,C368,Umowy!$O$9:$O$108,12)))</f>
        <v/>
      </c>
      <c r="I368" s="34" t="str">
        <f>IF(C368="","",IF(12&lt;=Parametry!$G$7,0,IF(COUNTIFS(Prognoza!$C$9:$C$38,C368)=1,IF(ISBLANK(INDEX(Prognoza!$K$9:$V$38,MATCH($C368,Prognoza!$C$9:$C$38,0),12)),"",IF(ISNUMBER(INDEX(Prognoza!$K$9:$V$38,MATCH($C368,Prognoza!$C$9:$C$38,0),12)),INDEX(Prognoza!$K$9:$V$38,MATCH($C368,Prognoza!$C$9:$C$38,0),12),"")),"")))</f>
        <v/>
      </c>
      <c r="J368" s="35" t="str">
        <f>IF(C368="","",IF(Plan!F38="Run",IF(ISNUMBER(INDEX(Parametry!$H$18:$S$18,1,12)),INDEX(Parametry!$H$18:$S$18,1,12),""),IF(ISNUMBER(INDEX(Parametry!$H$24:$S$24,1,12)),INDEX(Parametry!$H$24:$S$24,1,12),"")))</f>
        <v/>
      </c>
      <c r="K368" s="34" t="str">
        <f>IF(C368="","",IF(12&lt;=Parametry!$G$7,0,IF(AND(ISNUMBER(I368),ISNUMBER(J368),J368&gt;=-1),I368*(1+J368),"")))</f>
        <v/>
      </c>
      <c r="L368" s="34" t="str">
        <f>IF(C368="","",IF(12&lt;=Parametry!$G$7,G368,IF(ISNUMBER(K368),H368+K368,"")))</f>
        <v/>
      </c>
      <c r="M368" s="22" t="str">
        <f t="shared" si="10"/>
        <v/>
      </c>
      <c r="N368" s="7">
        <f t="shared" si="11"/>
        <v>0</v>
      </c>
      <c r="O368" s="7"/>
      <c r="P368" s="7"/>
    </row>
    <row r="369" spans="1:16" ht="24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</row>
    <row r="370" spans="1:16" ht="24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</row>
    <row r="371" spans="1:16" ht="24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</row>
  </sheetData>
  <sheetProtection sheet="1" objects="1" scenarios="1" autoFilter="0"/>
  <mergeCells count="3">
    <mergeCell ref="C2:P2"/>
    <mergeCell ref="C3:P3"/>
    <mergeCell ref="D4:G4"/>
  </mergeCells>
  <conditionalFormatting sqref="N9:N368">
    <cfRule type="cellIs" dxfId="16" priority="1" operator="greaterThan">
      <formula>0</formula>
    </cfRule>
  </conditionalFormatting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42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30" style="8" customWidth="1"/>
    <col min="5" max="5" width="16" style="8" customWidth="1"/>
    <col min="6" max="6" width="25" style="8" customWidth="1"/>
    <col min="7" max="17" width="18" style="8" customWidth="1"/>
    <col min="18" max="18" width="14" style="8" customWidth="1"/>
    <col min="19" max="16384" width="9" style="8"/>
  </cols>
  <sheetData>
    <row r="1" spans="1:18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ht="24" customHeight="1">
      <c r="A2" s="7"/>
      <c r="B2" s="7"/>
      <c r="C2" s="26" t="s">
        <v>165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18" ht="24" customHeight="1">
      <c r="A3" s="7"/>
      <c r="B3" s="7"/>
      <c r="C3" s="27" t="s">
        <v>51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1:18" ht="24" customHeight="1">
      <c r="A4" s="7"/>
      <c r="B4" s="7"/>
      <c r="C4" s="7" t="s">
        <v>52</v>
      </c>
      <c r="D4" s="28" t="str">
        <f>Parametry!$G$9</f>
        <v>Bazowy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18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</row>
    <row r="6" spans="1:18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ht="38.1" customHeight="1">
      <c r="A8" s="7"/>
      <c r="B8" s="7"/>
      <c r="C8" s="21" t="s">
        <v>80</v>
      </c>
      <c r="D8" s="21" t="s">
        <v>156</v>
      </c>
      <c r="E8" s="21" t="s">
        <v>166</v>
      </c>
      <c r="F8" s="21" t="s">
        <v>167</v>
      </c>
      <c r="G8" s="21" t="s">
        <v>168</v>
      </c>
      <c r="H8" s="21" t="s">
        <v>169</v>
      </c>
      <c r="I8" s="21" t="s">
        <v>170</v>
      </c>
      <c r="J8" s="21" t="s">
        <v>171</v>
      </c>
      <c r="K8" s="21" t="s">
        <v>172</v>
      </c>
      <c r="L8" s="21" t="s">
        <v>173</v>
      </c>
      <c r="M8" s="21" t="s">
        <v>174</v>
      </c>
      <c r="N8" s="21" t="str">
        <f>Parametry!G29</f>
        <v>Produkcja</v>
      </c>
      <c r="O8" s="21" t="str">
        <f>Parametry!H29</f>
        <v>Logistyka</v>
      </c>
      <c r="P8" s="21" t="str">
        <f>Parametry!I29</f>
        <v>Sprzedaż</v>
      </c>
      <c r="Q8" s="21" t="str">
        <f>Parametry!J29</f>
        <v>Administracja</v>
      </c>
      <c r="R8" s="7"/>
    </row>
    <row r="9" spans="1:18" ht="24" customHeight="1">
      <c r="A9" s="7"/>
      <c r="B9" s="7"/>
      <c r="C9" s="13" t="str">
        <f>IF(Plan!C9="","",Plan!C9)</f>
        <v>IT01</v>
      </c>
      <c r="D9" s="13" t="str">
        <f>IF(C9="","",Plan!D9)</f>
        <v>Licencje stanowiskowe</v>
      </c>
      <c r="E9" s="13" t="str">
        <f>IF(C9="","",Plan!H9)</f>
        <v>USERS</v>
      </c>
      <c r="F9" s="13" t="str">
        <f>IF(C9="","",IF(COUNTIFS(Parametry!$C$35:$C$46,E9)=1,INDEX(Parametry!$E$35:$E$46,MATCH(E9,Parametry!$C$35:$C$46,0)),""))</f>
        <v>Liczba użytkowników</v>
      </c>
      <c r="G9" s="13">
        <f>IF(C9="","",IF(COUNTIFS(Parametry!$C$35:$C$46,E9)=1,INDEX(Parametry!$K$35:$K$46,MATCH(E9,Parametry!$C$35:$C$46,0)),""))</f>
        <v>200</v>
      </c>
      <c r="H9" s="36">
        <f>IF(C9="","",Plan!I9)</f>
        <v>216000</v>
      </c>
      <c r="I9" s="36">
        <f>IF(AND(C9&lt;&gt;"",Model!$E$6=1),SUMIFS(Model!$L$9:$L$368,Model!$C$9:$C$368,C9),"")</f>
        <v>216000</v>
      </c>
      <c r="J9" s="13">
        <f>IF(C9="","",IF(COUNTIFS(Parametry!$C$35:$C$46,E9)=1,INDEX(Parametry!$G$35:$G$46,MATCH(E9,Parametry!$C$35:$C$46,0)),""))</f>
        <v>120</v>
      </c>
      <c r="K9" s="13">
        <f>IF(C9="","",IF(COUNTIFS(Parametry!$C$35:$C$46,E9)=1,INDEX(Parametry!$H$35:$H$46,MATCH(E9,Parametry!$C$35:$C$46,0)),""))</f>
        <v>40</v>
      </c>
      <c r="L9" s="13">
        <f>IF(C9="","",IF(COUNTIFS(Parametry!$C$35:$C$46,E9)=1,INDEX(Parametry!$I$35:$I$46,MATCH(E9,Parametry!$C$35:$C$46,0)),""))</f>
        <v>30</v>
      </c>
      <c r="M9" s="13">
        <f>IF(C9="","",IF(COUNTIFS(Parametry!$C$35:$C$46,E9)=1,INDEX(Parametry!$J$35:$J$46,MATCH(E9,Parametry!$C$35:$C$46,0)),""))</f>
        <v>10</v>
      </c>
      <c r="N9" s="37">
        <f t="shared" ref="N9:N38" si="0">IF(AND(ISNUMBER(I9),ISNUMBER(G9),G9&gt;0),I9*J9/G9,"")</f>
        <v>129600</v>
      </c>
      <c r="O9" s="37">
        <f t="shared" ref="O9:O38" si="1">IF(AND(ISNUMBER(I9),ISNUMBER(G9),G9&gt;0),I9*K9/G9,"")</f>
        <v>43200</v>
      </c>
      <c r="P9" s="37">
        <f t="shared" ref="P9:P38" si="2">IF(AND(ISNUMBER(I9),ISNUMBER(G9),G9&gt;0),I9*L9/G9,"")</f>
        <v>32400</v>
      </c>
      <c r="Q9" s="37">
        <f t="shared" ref="Q9:Q38" si="3">IF(AND(ISNUMBER(I9),ISNUMBER(G9),G9&gt;0),I9*M9/G9,"")</f>
        <v>10800</v>
      </c>
      <c r="R9" s="7"/>
    </row>
    <row r="10" spans="1:18" ht="24" customHeight="1">
      <c r="A10" s="7"/>
      <c r="B10" s="7"/>
      <c r="C10" s="13" t="str">
        <f>IF(Plan!C10="","",Plan!C10)</f>
        <v>IT02</v>
      </c>
      <c r="D10" s="13" t="str">
        <f>IF(C10="","",Plan!D10)</f>
        <v>Utrzymanie ERP</v>
      </c>
      <c r="E10" s="13" t="str">
        <f>IF(C10="","",Plan!H10)</f>
        <v>ERP</v>
      </c>
      <c r="F10" s="13" t="str">
        <f>IF(C10="","",IF(COUNTIFS(Parametry!$C$35:$C$46,E10)=1,INDEX(Parametry!$E$35:$E$46,MATCH(E10,Parametry!$C$35:$C$46,0)),""))</f>
        <v>Udział wykorzystania</v>
      </c>
      <c r="G10" s="13">
        <f>IF(C10="","",IF(COUNTIFS(Parametry!$C$35:$C$46,E10)=1,INDEX(Parametry!$K$35:$K$46,MATCH(E10,Parametry!$C$35:$C$46,0)),""))</f>
        <v>100</v>
      </c>
      <c r="H10" s="36">
        <f>IF(C10="","",Plan!I10)</f>
        <v>144000</v>
      </c>
      <c r="I10" s="36">
        <f>IF(AND(C10&lt;&gt;"",Model!$E$6=1),SUMIFS(Model!$L$9:$L$368,Model!$C$9:$C$368,C10),"")</f>
        <v>144000</v>
      </c>
      <c r="J10" s="13">
        <f>IF(C10="","",IF(COUNTIFS(Parametry!$C$35:$C$46,E10)=1,INDEX(Parametry!$G$35:$G$46,MATCH(E10,Parametry!$C$35:$C$46,0)),""))</f>
        <v>70</v>
      </c>
      <c r="K10" s="13">
        <f>IF(C10="","",IF(COUNTIFS(Parametry!$C$35:$C$46,E10)=1,INDEX(Parametry!$H$35:$H$46,MATCH(E10,Parametry!$C$35:$C$46,0)),""))</f>
        <v>20</v>
      </c>
      <c r="L10" s="13">
        <f>IF(C10="","",IF(COUNTIFS(Parametry!$C$35:$C$46,E10)=1,INDEX(Parametry!$I$35:$I$46,MATCH(E10,Parametry!$C$35:$C$46,0)),""))</f>
        <v>5</v>
      </c>
      <c r="M10" s="13">
        <f>IF(C10="","",IF(COUNTIFS(Parametry!$C$35:$C$46,E10)=1,INDEX(Parametry!$J$35:$J$46,MATCH(E10,Parametry!$C$35:$C$46,0)),""))</f>
        <v>5</v>
      </c>
      <c r="N10" s="37">
        <f t="shared" si="0"/>
        <v>100800</v>
      </c>
      <c r="O10" s="37">
        <f t="shared" si="1"/>
        <v>28800</v>
      </c>
      <c r="P10" s="37">
        <f t="shared" si="2"/>
        <v>7200</v>
      </c>
      <c r="Q10" s="37">
        <f t="shared" si="3"/>
        <v>7200</v>
      </c>
      <c r="R10" s="7"/>
    </row>
    <row r="11" spans="1:18" ht="24" customHeight="1">
      <c r="A11" s="7"/>
      <c r="B11" s="7"/>
      <c r="C11" s="13" t="str">
        <f>IF(Plan!C11="","",Plan!C11)</f>
        <v>IT03</v>
      </c>
      <c r="D11" s="13" t="str">
        <f>IF(C11="","",Plan!D11)</f>
        <v>Backup i odtwarzanie</v>
      </c>
      <c r="E11" s="13" t="str">
        <f>IF(C11="","",Plan!H11)</f>
        <v>STORAGE</v>
      </c>
      <c r="F11" s="13" t="str">
        <f>IF(C11="","",IF(COUNTIFS(Parametry!$C$35:$C$46,E11)=1,INDEX(Parametry!$E$35:$E$46,MATCH(E11,Parametry!$C$35:$C$46,0)),""))</f>
        <v>Wolumen danych</v>
      </c>
      <c r="G11" s="13">
        <f>IF(C11="","",IF(COUNTIFS(Parametry!$C$35:$C$46,E11)=1,INDEX(Parametry!$K$35:$K$46,MATCH(E11,Parametry!$C$35:$C$46,0)),""))</f>
        <v>100</v>
      </c>
      <c r="H11" s="36">
        <f>IF(C11="","",Plan!I11)</f>
        <v>36000</v>
      </c>
      <c r="I11" s="36">
        <f>IF(AND(C11&lt;&gt;"",Model!$E$6=1),SUMIFS(Model!$L$9:$L$368,Model!$C$9:$C$368,C11),"")</f>
        <v>36000</v>
      </c>
      <c r="J11" s="13">
        <f>IF(C11="","",IF(COUNTIFS(Parametry!$C$35:$C$46,E11)=1,INDEX(Parametry!$G$35:$G$46,MATCH(E11,Parametry!$C$35:$C$46,0)),""))</f>
        <v>65</v>
      </c>
      <c r="K11" s="13">
        <f>IF(C11="","",IF(COUNTIFS(Parametry!$C$35:$C$46,E11)=1,INDEX(Parametry!$H$35:$H$46,MATCH(E11,Parametry!$C$35:$C$46,0)),""))</f>
        <v>20</v>
      </c>
      <c r="L11" s="13">
        <f>IF(C11="","",IF(COUNTIFS(Parametry!$C$35:$C$46,E11)=1,INDEX(Parametry!$I$35:$I$46,MATCH(E11,Parametry!$C$35:$C$46,0)),""))</f>
        <v>10</v>
      </c>
      <c r="M11" s="13">
        <f>IF(C11="","",IF(COUNTIFS(Parametry!$C$35:$C$46,E11)=1,INDEX(Parametry!$J$35:$J$46,MATCH(E11,Parametry!$C$35:$C$46,0)),""))</f>
        <v>5</v>
      </c>
      <c r="N11" s="37">
        <f t="shared" si="0"/>
        <v>23400</v>
      </c>
      <c r="O11" s="37">
        <f t="shared" si="1"/>
        <v>7200</v>
      </c>
      <c r="P11" s="37">
        <f t="shared" si="2"/>
        <v>3600</v>
      </c>
      <c r="Q11" s="37">
        <f t="shared" si="3"/>
        <v>1800</v>
      </c>
      <c r="R11" s="7"/>
    </row>
    <row r="12" spans="1:18" ht="24" customHeight="1">
      <c r="A12" s="7"/>
      <c r="B12" s="7"/>
      <c r="C12" s="13" t="str">
        <f>IF(Plan!C12="","",Plan!C12)</f>
        <v>IT04</v>
      </c>
      <c r="D12" s="13" t="str">
        <f>IF(C12="","",Plan!D12)</f>
        <v>Ochrona środowiska</v>
      </c>
      <c r="E12" s="13" t="str">
        <f>IF(C12="","",Plan!H12)</f>
        <v>USERS</v>
      </c>
      <c r="F12" s="13" t="str">
        <f>IF(C12="","",IF(COUNTIFS(Parametry!$C$35:$C$46,E12)=1,INDEX(Parametry!$E$35:$E$46,MATCH(E12,Parametry!$C$35:$C$46,0)),""))</f>
        <v>Liczba użytkowników</v>
      </c>
      <c r="G12" s="13">
        <f>IF(C12="","",IF(COUNTIFS(Parametry!$C$35:$C$46,E12)=1,INDEX(Parametry!$K$35:$K$46,MATCH(E12,Parametry!$C$35:$C$46,0)),""))</f>
        <v>200</v>
      </c>
      <c r="H12" s="36">
        <f>IF(C12="","",Plan!I12)</f>
        <v>60000</v>
      </c>
      <c r="I12" s="36">
        <f>IF(AND(C12&lt;&gt;"",Model!$E$6=1),SUMIFS(Model!$L$9:$L$368,Model!$C$9:$C$368,C12),"")</f>
        <v>60000</v>
      </c>
      <c r="J12" s="13">
        <f>IF(C12="","",IF(COUNTIFS(Parametry!$C$35:$C$46,E12)=1,INDEX(Parametry!$G$35:$G$46,MATCH(E12,Parametry!$C$35:$C$46,0)),""))</f>
        <v>120</v>
      </c>
      <c r="K12" s="13">
        <f>IF(C12="","",IF(COUNTIFS(Parametry!$C$35:$C$46,E12)=1,INDEX(Parametry!$H$35:$H$46,MATCH(E12,Parametry!$C$35:$C$46,0)),""))</f>
        <v>40</v>
      </c>
      <c r="L12" s="13">
        <f>IF(C12="","",IF(COUNTIFS(Parametry!$C$35:$C$46,E12)=1,INDEX(Parametry!$I$35:$I$46,MATCH(E12,Parametry!$C$35:$C$46,0)),""))</f>
        <v>30</v>
      </c>
      <c r="M12" s="13">
        <f>IF(C12="","",IF(COUNTIFS(Parametry!$C$35:$C$46,E12)=1,INDEX(Parametry!$J$35:$J$46,MATCH(E12,Parametry!$C$35:$C$46,0)),""))</f>
        <v>10</v>
      </c>
      <c r="N12" s="37">
        <f t="shared" si="0"/>
        <v>36000</v>
      </c>
      <c r="O12" s="37">
        <f t="shared" si="1"/>
        <v>12000</v>
      </c>
      <c r="P12" s="37">
        <f t="shared" si="2"/>
        <v>9000</v>
      </c>
      <c r="Q12" s="37">
        <f t="shared" si="3"/>
        <v>3000</v>
      </c>
      <c r="R12" s="7"/>
    </row>
    <row r="13" spans="1:18" ht="24" customHeight="1">
      <c r="A13" s="7"/>
      <c r="B13" s="7"/>
      <c r="C13" s="13" t="str">
        <f>IF(Plan!C13="","",Plan!C13)</f>
        <v>IT05</v>
      </c>
      <c r="D13" s="13" t="str">
        <f>IF(C13="","",Plan!D13)</f>
        <v>Odświeżenie sieci</v>
      </c>
      <c r="E13" s="13" t="str">
        <f>IF(C13="","",Plan!H13)</f>
        <v>ASSETS</v>
      </c>
      <c r="F13" s="13" t="str">
        <f>IF(C13="","",IF(COUNTIFS(Parametry!$C$35:$C$46,E13)=1,INDEX(Parametry!$E$35:$E$46,MATCH(E13,Parametry!$C$35:$C$46,0)),""))</f>
        <v>Liczba urządzeń</v>
      </c>
      <c r="G13" s="13">
        <f>IF(C13="","",IF(COUNTIFS(Parametry!$C$35:$C$46,E13)=1,INDEX(Parametry!$K$35:$K$46,MATCH(E13,Parametry!$C$35:$C$46,0)),""))</f>
        <v>150</v>
      </c>
      <c r="H13" s="36">
        <f>IF(C13="","",Plan!I13)</f>
        <v>60000</v>
      </c>
      <c r="I13" s="36">
        <f>IF(AND(C13&lt;&gt;"",Model!$E$6=1),SUMIFS(Model!$L$9:$L$368,Model!$C$9:$C$368,C13),"")</f>
        <v>64000</v>
      </c>
      <c r="J13" s="13">
        <f>IF(C13="","",IF(COUNTIFS(Parametry!$C$35:$C$46,E13)=1,INDEX(Parametry!$G$35:$G$46,MATCH(E13,Parametry!$C$35:$C$46,0)),""))</f>
        <v>90</v>
      </c>
      <c r="K13" s="13">
        <f>IF(C13="","",IF(COUNTIFS(Parametry!$C$35:$C$46,E13)=1,INDEX(Parametry!$H$35:$H$46,MATCH(E13,Parametry!$C$35:$C$46,0)),""))</f>
        <v>20</v>
      </c>
      <c r="L13" s="13">
        <f>IF(C13="","",IF(COUNTIFS(Parametry!$C$35:$C$46,E13)=1,INDEX(Parametry!$I$35:$I$46,MATCH(E13,Parametry!$C$35:$C$46,0)),""))</f>
        <v>20</v>
      </c>
      <c r="M13" s="13">
        <f>IF(C13="","",IF(COUNTIFS(Parametry!$C$35:$C$46,E13)=1,INDEX(Parametry!$J$35:$J$46,MATCH(E13,Parametry!$C$35:$C$46,0)),""))</f>
        <v>20</v>
      </c>
      <c r="N13" s="37">
        <f t="shared" si="0"/>
        <v>38400</v>
      </c>
      <c r="O13" s="37">
        <f t="shared" si="1"/>
        <v>8533.3333333333339</v>
      </c>
      <c r="P13" s="37">
        <f t="shared" si="2"/>
        <v>8533.3333333333339</v>
      </c>
      <c r="Q13" s="37">
        <f t="shared" si="3"/>
        <v>8533.3333333333339</v>
      </c>
      <c r="R13" s="7"/>
    </row>
    <row r="14" spans="1:18" ht="24" customHeight="1">
      <c r="A14" s="7"/>
      <c r="B14" s="7"/>
      <c r="C14" s="13" t="str">
        <f>IF(Plan!C14="","",Plan!C14)</f>
        <v>IT06</v>
      </c>
      <c r="D14" s="13" t="str">
        <f>IF(C14="","",Plan!D14)</f>
        <v>Projekt WMS</v>
      </c>
      <c r="E14" s="13" t="str">
        <f>IF(C14="","",Plan!H14)</f>
        <v>LOG</v>
      </c>
      <c r="F14" s="13" t="str">
        <f>IF(C14="","",IF(COUNTIFS(Parametry!$C$35:$C$46,E14)=1,INDEX(Parametry!$E$35:$E$46,MATCH(E14,Parametry!$C$35:$C$46,0)),""))</f>
        <v>Przypisanie bezpośrednie</v>
      </c>
      <c r="G14" s="13">
        <f>IF(C14="","",IF(COUNTIFS(Parametry!$C$35:$C$46,E14)=1,INDEX(Parametry!$K$35:$K$46,MATCH(E14,Parametry!$C$35:$C$46,0)),""))</f>
        <v>1</v>
      </c>
      <c r="H14" s="36">
        <f>IF(C14="","",Plan!I14)</f>
        <v>120000</v>
      </c>
      <c r="I14" s="36">
        <f>IF(AND(C14&lt;&gt;"",Model!$E$6=1),SUMIFS(Model!$L$9:$L$368,Model!$C$9:$C$368,C14),"")</f>
        <v>120000</v>
      </c>
      <c r="J14" s="13">
        <f>IF(C14="","",IF(COUNTIFS(Parametry!$C$35:$C$46,E14)=1,INDEX(Parametry!$G$35:$G$46,MATCH(E14,Parametry!$C$35:$C$46,0)),""))</f>
        <v>0</v>
      </c>
      <c r="K14" s="13">
        <f>IF(C14="","",IF(COUNTIFS(Parametry!$C$35:$C$46,E14)=1,INDEX(Parametry!$H$35:$H$46,MATCH(E14,Parametry!$C$35:$C$46,0)),""))</f>
        <v>1</v>
      </c>
      <c r="L14" s="13">
        <f>IF(C14="","",IF(COUNTIFS(Parametry!$C$35:$C$46,E14)=1,INDEX(Parametry!$I$35:$I$46,MATCH(E14,Parametry!$C$35:$C$46,0)),""))</f>
        <v>0</v>
      </c>
      <c r="M14" s="13">
        <f>IF(C14="","",IF(COUNTIFS(Parametry!$C$35:$C$46,E14)=1,INDEX(Parametry!$J$35:$J$46,MATCH(E14,Parametry!$C$35:$C$46,0)),""))</f>
        <v>0</v>
      </c>
      <c r="N14" s="37">
        <f t="shared" si="0"/>
        <v>0</v>
      </c>
      <c r="O14" s="37">
        <f t="shared" si="1"/>
        <v>120000</v>
      </c>
      <c r="P14" s="37">
        <f t="shared" si="2"/>
        <v>0</v>
      </c>
      <c r="Q14" s="37">
        <f t="shared" si="3"/>
        <v>0</v>
      </c>
      <c r="R14" s="7"/>
    </row>
    <row r="15" spans="1:18" ht="24" customHeight="1">
      <c r="A15" s="7"/>
      <c r="B15" s="7"/>
      <c r="C15" s="13" t="str">
        <f>IF(Plan!C15="","",Plan!C15)</f>
        <v>IT07</v>
      </c>
      <c r="D15" s="13" t="str">
        <f>IF(C15="","",Plan!D15)</f>
        <v>Projekt MES</v>
      </c>
      <c r="E15" s="13" t="str">
        <f>IF(C15="","",Plan!H15)</f>
        <v>PROD</v>
      </c>
      <c r="F15" s="13" t="str">
        <f>IF(C15="","",IF(COUNTIFS(Parametry!$C$35:$C$46,E15)=1,INDEX(Parametry!$E$35:$E$46,MATCH(E15,Parametry!$C$35:$C$46,0)),""))</f>
        <v>Przypisanie bezpośrednie</v>
      </c>
      <c r="G15" s="13">
        <f>IF(C15="","",IF(COUNTIFS(Parametry!$C$35:$C$46,E15)=1,INDEX(Parametry!$K$35:$K$46,MATCH(E15,Parametry!$C$35:$C$46,0)),""))</f>
        <v>1</v>
      </c>
      <c r="H15" s="36">
        <f>IF(C15="","",Plan!I15)</f>
        <v>90000</v>
      </c>
      <c r="I15" s="36">
        <f>IF(AND(C15&lt;&gt;"",Model!$E$6=1),SUMIFS(Model!$L$9:$L$368,Model!$C$9:$C$368,C15),"")</f>
        <v>0</v>
      </c>
      <c r="J15" s="13">
        <f>IF(C15="","",IF(COUNTIFS(Parametry!$C$35:$C$46,E15)=1,INDEX(Parametry!$G$35:$G$46,MATCH(E15,Parametry!$C$35:$C$46,0)),""))</f>
        <v>1</v>
      </c>
      <c r="K15" s="13">
        <f>IF(C15="","",IF(COUNTIFS(Parametry!$C$35:$C$46,E15)=1,INDEX(Parametry!$H$35:$H$46,MATCH(E15,Parametry!$C$35:$C$46,0)),""))</f>
        <v>0</v>
      </c>
      <c r="L15" s="13">
        <f>IF(C15="","",IF(COUNTIFS(Parametry!$C$35:$C$46,E15)=1,INDEX(Parametry!$I$35:$I$46,MATCH(E15,Parametry!$C$35:$C$46,0)),""))</f>
        <v>0</v>
      </c>
      <c r="M15" s="13">
        <f>IF(C15="","",IF(COUNTIFS(Parametry!$C$35:$C$46,E15)=1,INDEX(Parametry!$J$35:$J$46,MATCH(E15,Parametry!$C$35:$C$46,0)),""))</f>
        <v>0</v>
      </c>
      <c r="N15" s="37">
        <f t="shared" si="0"/>
        <v>0</v>
      </c>
      <c r="O15" s="37">
        <f t="shared" si="1"/>
        <v>0</v>
      </c>
      <c r="P15" s="37">
        <f t="shared" si="2"/>
        <v>0</v>
      </c>
      <c r="Q15" s="37">
        <f t="shared" si="3"/>
        <v>0</v>
      </c>
      <c r="R15" s="7"/>
    </row>
    <row r="16" spans="1:18" ht="24" customHeight="1">
      <c r="A16" s="7"/>
      <c r="B16" s="7"/>
      <c r="C16" s="13" t="str">
        <f>IF(Plan!C16="","",Plan!C16)</f>
        <v>IT08</v>
      </c>
      <c r="D16" s="13" t="str">
        <f>IF(C16="","",Plan!D16)</f>
        <v>Usługi chmurowe</v>
      </c>
      <c r="E16" s="13" t="str">
        <f>IF(C16="","",Plan!H16)</f>
        <v>STORAGE</v>
      </c>
      <c r="F16" s="13" t="str">
        <f>IF(C16="","",IF(COUNTIFS(Parametry!$C$35:$C$46,E16)=1,INDEX(Parametry!$E$35:$E$46,MATCH(E16,Parametry!$C$35:$C$46,0)),""))</f>
        <v>Wolumen danych</v>
      </c>
      <c r="G16" s="13">
        <f>IF(C16="","",IF(COUNTIFS(Parametry!$C$35:$C$46,E16)=1,INDEX(Parametry!$K$35:$K$46,MATCH(E16,Parametry!$C$35:$C$46,0)),""))</f>
        <v>100</v>
      </c>
      <c r="H16" s="36">
        <f>IF(C16="","",Plan!I16)</f>
        <v>72000</v>
      </c>
      <c r="I16" s="36">
        <f>IF(AND(C16&lt;&gt;"",Model!$E$6=1),SUMIFS(Model!$L$9:$L$368,Model!$C$9:$C$368,C16),"")</f>
        <v>79200</v>
      </c>
      <c r="J16" s="13">
        <f>IF(C16="","",IF(COUNTIFS(Parametry!$C$35:$C$46,E16)=1,INDEX(Parametry!$G$35:$G$46,MATCH(E16,Parametry!$C$35:$C$46,0)),""))</f>
        <v>65</v>
      </c>
      <c r="K16" s="13">
        <f>IF(C16="","",IF(COUNTIFS(Parametry!$C$35:$C$46,E16)=1,INDEX(Parametry!$H$35:$H$46,MATCH(E16,Parametry!$C$35:$C$46,0)),""))</f>
        <v>20</v>
      </c>
      <c r="L16" s="13">
        <f>IF(C16="","",IF(COUNTIFS(Parametry!$C$35:$C$46,E16)=1,INDEX(Parametry!$I$35:$I$46,MATCH(E16,Parametry!$C$35:$C$46,0)),""))</f>
        <v>10</v>
      </c>
      <c r="M16" s="13">
        <f>IF(C16="","",IF(COUNTIFS(Parametry!$C$35:$C$46,E16)=1,INDEX(Parametry!$J$35:$J$46,MATCH(E16,Parametry!$C$35:$C$46,0)),""))</f>
        <v>5</v>
      </c>
      <c r="N16" s="37">
        <f t="shared" si="0"/>
        <v>51480</v>
      </c>
      <c r="O16" s="37">
        <f t="shared" si="1"/>
        <v>15840</v>
      </c>
      <c r="P16" s="37">
        <f t="shared" si="2"/>
        <v>7920</v>
      </c>
      <c r="Q16" s="37">
        <f t="shared" si="3"/>
        <v>3960</v>
      </c>
      <c r="R16" s="7"/>
    </row>
    <row r="17" spans="1:18" ht="24" customHeight="1">
      <c r="A17" s="7"/>
      <c r="B17" s="7"/>
      <c r="C17" s="13" t="str">
        <f>IF(Plan!C17="","",Plan!C17)</f>
        <v>IT09</v>
      </c>
      <c r="D17" s="13" t="str">
        <f>IF(C17="","",Plan!D17)</f>
        <v>Zespół IT</v>
      </c>
      <c r="E17" s="13" t="str">
        <f>IF(C17="","",Plan!H17)</f>
        <v>HOURS</v>
      </c>
      <c r="F17" s="13" t="str">
        <f>IF(C17="","",IF(COUNTIFS(Parametry!$C$35:$C$46,E17)=1,INDEX(Parametry!$E$35:$E$46,MATCH(E17,Parametry!$C$35:$C$46,0)),""))</f>
        <v>Godziny wsparcia</v>
      </c>
      <c r="G17" s="13">
        <f>IF(C17="","",IF(COUNTIFS(Parametry!$C$35:$C$46,E17)=1,INDEX(Parametry!$K$35:$K$46,MATCH(E17,Parametry!$C$35:$C$46,0)),""))</f>
        <v>80</v>
      </c>
      <c r="H17" s="36">
        <f>IF(C17="","",Plan!I17)</f>
        <v>384000</v>
      </c>
      <c r="I17" s="36">
        <f>IF(AND(C17&lt;&gt;"",Model!$E$6=1),SUMIFS(Model!$L$9:$L$368,Model!$C$9:$C$368,C17),"")</f>
        <v>384000</v>
      </c>
      <c r="J17" s="13">
        <f>IF(C17="","",IF(COUNTIFS(Parametry!$C$35:$C$46,E17)=1,INDEX(Parametry!$G$35:$G$46,MATCH(E17,Parametry!$C$35:$C$46,0)),""))</f>
        <v>40</v>
      </c>
      <c r="K17" s="13">
        <f>IF(C17="","",IF(COUNTIFS(Parametry!$C$35:$C$46,E17)=1,INDEX(Parametry!$H$35:$H$46,MATCH(E17,Parametry!$C$35:$C$46,0)),""))</f>
        <v>20</v>
      </c>
      <c r="L17" s="13">
        <f>IF(C17="","",IF(COUNTIFS(Parametry!$C$35:$C$46,E17)=1,INDEX(Parametry!$I$35:$I$46,MATCH(E17,Parametry!$C$35:$C$46,0)),""))</f>
        <v>10</v>
      </c>
      <c r="M17" s="13">
        <f>IF(C17="","",IF(COUNTIFS(Parametry!$C$35:$C$46,E17)=1,INDEX(Parametry!$J$35:$J$46,MATCH(E17,Parametry!$C$35:$C$46,0)),""))</f>
        <v>10</v>
      </c>
      <c r="N17" s="37">
        <f t="shared" si="0"/>
        <v>192000</v>
      </c>
      <c r="O17" s="37">
        <f t="shared" si="1"/>
        <v>96000</v>
      </c>
      <c r="P17" s="37">
        <f t="shared" si="2"/>
        <v>48000</v>
      </c>
      <c r="Q17" s="37">
        <f t="shared" si="3"/>
        <v>48000</v>
      </c>
      <c r="R17" s="7"/>
    </row>
    <row r="18" spans="1:18" ht="24" customHeight="1">
      <c r="A18" s="7"/>
      <c r="B18" s="7"/>
      <c r="C18" s="13" t="str">
        <f>IF(Plan!C18="","",Plan!C18)</f>
        <v>IT10</v>
      </c>
      <c r="D18" s="13" t="str">
        <f>IF(C18="","",Plan!D18)</f>
        <v>Prace wydajnościowe ERP</v>
      </c>
      <c r="E18" s="13" t="str">
        <f>IF(C18="","",Plan!H18)</f>
        <v>PROD</v>
      </c>
      <c r="F18" s="13" t="str">
        <f>IF(C18="","",IF(COUNTIFS(Parametry!$C$35:$C$46,E18)=1,INDEX(Parametry!$E$35:$E$46,MATCH(E18,Parametry!$C$35:$C$46,0)),""))</f>
        <v>Przypisanie bezpośrednie</v>
      </c>
      <c r="G18" s="13">
        <f>IF(C18="","",IF(COUNTIFS(Parametry!$C$35:$C$46,E18)=1,INDEX(Parametry!$K$35:$K$46,MATCH(E18,Parametry!$C$35:$C$46,0)),""))</f>
        <v>1</v>
      </c>
      <c r="H18" s="36">
        <f>IF(C18="","",Plan!I18)</f>
        <v>18000</v>
      </c>
      <c r="I18" s="36">
        <f>IF(AND(C18&lt;&gt;"",Model!$E$6=1),SUMIFS(Model!$L$9:$L$368,Model!$C$9:$C$368,C18),"")</f>
        <v>18000</v>
      </c>
      <c r="J18" s="13">
        <f>IF(C18="","",IF(COUNTIFS(Parametry!$C$35:$C$46,E18)=1,INDEX(Parametry!$G$35:$G$46,MATCH(E18,Parametry!$C$35:$C$46,0)),""))</f>
        <v>1</v>
      </c>
      <c r="K18" s="13">
        <f>IF(C18="","",IF(COUNTIFS(Parametry!$C$35:$C$46,E18)=1,INDEX(Parametry!$H$35:$H$46,MATCH(E18,Parametry!$C$35:$C$46,0)),""))</f>
        <v>0</v>
      </c>
      <c r="L18" s="13">
        <f>IF(C18="","",IF(COUNTIFS(Parametry!$C$35:$C$46,E18)=1,INDEX(Parametry!$I$35:$I$46,MATCH(E18,Parametry!$C$35:$C$46,0)),""))</f>
        <v>0</v>
      </c>
      <c r="M18" s="13">
        <f>IF(C18="","",IF(COUNTIFS(Parametry!$C$35:$C$46,E18)=1,INDEX(Parametry!$J$35:$J$46,MATCH(E18,Parametry!$C$35:$C$46,0)),""))</f>
        <v>0</v>
      </c>
      <c r="N18" s="37">
        <f t="shared" si="0"/>
        <v>18000</v>
      </c>
      <c r="O18" s="37">
        <f t="shared" si="1"/>
        <v>0</v>
      </c>
      <c r="P18" s="37">
        <f t="shared" si="2"/>
        <v>0</v>
      </c>
      <c r="Q18" s="37">
        <f t="shared" si="3"/>
        <v>0</v>
      </c>
      <c r="R18" s="7"/>
    </row>
    <row r="19" spans="1:18" ht="24" customHeight="1">
      <c r="A19" s="7"/>
      <c r="B19" s="7"/>
      <c r="C19" s="13" t="str">
        <f>IF(Plan!C19="","",Plan!C19)</f>
        <v>IT11</v>
      </c>
      <c r="D19" s="13" t="str">
        <f>IF(C19="","",Plan!D19)</f>
        <v>Rozwój kompetencji</v>
      </c>
      <c r="E19" s="13" t="str">
        <f>IF(C19="","",Plan!H19)</f>
        <v>USERS</v>
      </c>
      <c r="F19" s="13" t="str">
        <f>IF(C19="","",IF(COUNTIFS(Parametry!$C$35:$C$46,E19)=1,INDEX(Parametry!$E$35:$E$46,MATCH(E19,Parametry!$C$35:$C$46,0)),""))</f>
        <v>Liczba użytkowników</v>
      </c>
      <c r="G19" s="13">
        <f>IF(C19="","",IF(COUNTIFS(Parametry!$C$35:$C$46,E19)=1,INDEX(Parametry!$K$35:$K$46,MATCH(E19,Parametry!$C$35:$C$46,0)),""))</f>
        <v>200</v>
      </c>
      <c r="H19" s="36">
        <f>IF(C19="","",Plan!I19)</f>
        <v>12000</v>
      </c>
      <c r="I19" s="36">
        <f>IF(AND(C19&lt;&gt;"",Model!$E$6=1),SUMIFS(Model!$L$9:$L$368,Model!$C$9:$C$368,C19),"")</f>
        <v>12000</v>
      </c>
      <c r="J19" s="13">
        <f>IF(C19="","",IF(COUNTIFS(Parametry!$C$35:$C$46,E19)=1,INDEX(Parametry!$G$35:$G$46,MATCH(E19,Parametry!$C$35:$C$46,0)),""))</f>
        <v>120</v>
      </c>
      <c r="K19" s="13">
        <f>IF(C19="","",IF(COUNTIFS(Parametry!$C$35:$C$46,E19)=1,INDEX(Parametry!$H$35:$H$46,MATCH(E19,Parametry!$C$35:$C$46,0)),""))</f>
        <v>40</v>
      </c>
      <c r="L19" s="13">
        <f>IF(C19="","",IF(COUNTIFS(Parametry!$C$35:$C$46,E19)=1,INDEX(Parametry!$I$35:$I$46,MATCH(E19,Parametry!$C$35:$C$46,0)),""))</f>
        <v>30</v>
      </c>
      <c r="M19" s="13">
        <f>IF(C19="","",IF(COUNTIFS(Parametry!$C$35:$C$46,E19)=1,INDEX(Parametry!$J$35:$J$46,MATCH(E19,Parametry!$C$35:$C$46,0)),""))</f>
        <v>10</v>
      </c>
      <c r="N19" s="37">
        <f t="shared" si="0"/>
        <v>7200</v>
      </c>
      <c r="O19" s="37">
        <f t="shared" si="1"/>
        <v>2400</v>
      </c>
      <c r="P19" s="37">
        <f t="shared" si="2"/>
        <v>1800</v>
      </c>
      <c r="Q19" s="37">
        <f t="shared" si="3"/>
        <v>600</v>
      </c>
      <c r="R19" s="7"/>
    </row>
    <row r="20" spans="1:18" ht="24" customHeight="1">
      <c r="A20" s="7"/>
      <c r="B20" s="7"/>
      <c r="C20" s="13" t="str">
        <f>IF(Plan!C20="","",Plan!C20)</f>
        <v>IT12</v>
      </c>
      <c r="D20" s="13" t="str">
        <f>IF(C20="","",Plan!D20)</f>
        <v>Rezerwa zarządcza</v>
      </c>
      <c r="E20" s="13" t="str">
        <f>IF(C20="","",Plan!H20)</f>
        <v>ASSETS</v>
      </c>
      <c r="F20" s="13" t="str">
        <f>IF(C20="","",IF(COUNTIFS(Parametry!$C$35:$C$46,E20)=1,INDEX(Parametry!$E$35:$E$46,MATCH(E20,Parametry!$C$35:$C$46,0)),""))</f>
        <v>Liczba urządzeń</v>
      </c>
      <c r="G20" s="13">
        <f>IF(C20="","",IF(COUNTIFS(Parametry!$C$35:$C$46,E20)=1,INDEX(Parametry!$K$35:$K$46,MATCH(E20,Parametry!$C$35:$C$46,0)),""))</f>
        <v>150</v>
      </c>
      <c r="H20" s="36">
        <f>IF(C20="","",Plan!I20)</f>
        <v>20000</v>
      </c>
      <c r="I20" s="36">
        <f>IF(AND(C20&lt;&gt;"",Model!$E$6=1),SUMIFS(Model!$L$9:$L$368,Model!$C$9:$C$368,C20),"")</f>
        <v>5000</v>
      </c>
      <c r="J20" s="13">
        <f>IF(C20="","",IF(COUNTIFS(Parametry!$C$35:$C$46,E20)=1,INDEX(Parametry!$G$35:$G$46,MATCH(E20,Parametry!$C$35:$C$46,0)),""))</f>
        <v>90</v>
      </c>
      <c r="K20" s="13">
        <f>IF(C20="","",IF(COUNTIFS(Parametry!$C$35:$C$46,E20)=1,INDEX(Parametry!$H$35:$H$46,MATCH(E20,Parametry!$C$35:$C$46,0)),""))</f>
        <v>20</v>
      </c>
      <c r="L20" s="13">
        <f>IF(C20="","",IF(COUNTIFS(Parametry!$C$35:$C$46,E20)=1,INDEX(Parametry!$I$35:$I$46,MATCH(E20,Parametry!$C$35:$C$46,0)),""))</f>
        <v>20</v>
      </c>
      <c r="M20" s="13">
        <f>IF(C20="","",IF(COUNTIFS(Parametry!$C$35:$C$46,E20)=1,INDEX(Parametry!$J$35:$J$46,MATCH(E20,Parametry!$C$35:$C$46,0)),""))</f>
        <v>20</v>
      </c>
      <c r="N20" s="37">
        <f t="shared" si="0"/>
        <v>3000</v>
      </c>
      <c r="O20" s="37">
        <f t="shared" si="1"/>
        <v>666.66666666666663</v>
      </c>
      <c r="P20" s="37">
        <f t="shared" si="2"/>
        <v>666.66666666666663</v>
      </c>
      <c r="Q20" s="37">
        <f t="shared" si="3"/>
        <v>666.66666666666663</v>
      </c>
      <c r="R20" s="7"/>
    </row>
    <row r="21" spans="1:18" ht="24" customHeight="1">
      <c r="A21" s="7"/>
      <c r="B21" s="7"/>
      <c r="C21" s="13" t="str">
        <f>IF(Plan!C21="","",Plan!C21)</f>
        <v>IT13</v>
      </c>
      <c r="D21" s="13" t="str">
        <f>IF(C21="","",Plan!D21)</f>
        <v>Praca poza planem</v>
      </c>
      <c r="E21" s="13" t="str">
        <f>IF(C21="","",Plan!H21)</f>
        <v>PROD</v>
      </c>
      <c r="F21" s="13" t="str">
        <f>IF(C21="","",IF(COUNTIFS(Parametry!$C$35:$C$46,E21)=1,INDEX(Parametry!$E$35:$E$46,MATCH(E21,Parametry!$C$35:$C$46,0)),""))</f>
        <v>Przypisanie bezpośrednie</v>
      </c>
      <c r="G21" s="13">
        <f>IF(C21="","",IF(COUNTIFS(Parametry!$C$35:$C$46,E21)=1,INDEX(Parametry!$K$35:$K$46,MATCH(E21,Parametry!$C$35:$C$46,0)),""))</f>
        <v>1</v>
      </c>
      <c r="H21" s="36">
        <f>IF(C21="","",Plan!I21)</f>
        <v>0</v>
      </c>
      <c r="I21" s="36">
        <f>IF(AND(C21&lt;&gt;"",Model!$E$6=1),SUMIFS(Model!$L$9:$L$368,Model!$C$9:$C$368,C21),"")</f>
        <v>3000</v>
      </c>
      <c r="J21" s="13">
        <f>IF(C21="","",IF(COUNTIFS(Parametry!$C$35:$C$46,E21)=1,INDEX(Parametry!$G$35:$G$46,MATCH(E21,Parametry!$C$35:$C$46,0)),""))</f>
        <v>1</v>
      </c>
      <c r="K21" s="13">
        <f>IF(C21="","",IF(COUNTIFS(Parametry!$C$35:$C$46,E21)=1,INDEX(Parametry!$H$35:$H$46,MATCH(E21,Parametry!$C$35:$C$46,0)),""))</f>
        <v>0</v>
      </c>
      <c r="L21" s="13">
        <f>IF(C21="","",IF(COUNTIFS(Parametry!$C$35:$C$46,E21)=1,INDEX(Parametry!$I$35:$I$46,MATCH(E21,Parametry!$C$35:$C$46,0)),""))</f>
        <v>0</v>
      </c>
      <c r="M21" s="13">
        <f>IF(C21="","",IF(COUNTIFS(Parametry!$C$35:$C$46,E21)=1,INDEX(Parametry!$J$35:$J$46,MATCH(E21,Parametry!$C$35:$C$46,0)),""))</f>
        <v>0</v>
      </c>
      <c r="N21" s="37">
        <f t="shared" si="0"/>
        <v>3000</v>
      </c>
      <c r="O21" s="37">
        <f t="shared" si="1"/>
        <v>0</v>
      </c>
      <c r="P21" s="37">
        <f t="shared" si="2"/>
        <v>0</v>
      </c>
      <c r="Q21" s="37">
        <f t="shared" si="3"/>
        <v>0</v>
      </c>
      <c r="R21" s="7"/>
    </row>
    <row r="22" spans="1:18" ht="24" customHeight="1">
      <c r="A22" s="7"/>
      <c r="B22" s="7"/>
      <c r="C22" s="13" t="str">
        <f>IF(Plan!C22="","",Plan!C22)</f>
        <v/>
      </c>
      <c r="D22" s="13" t="str">
        <f>IF(C22="","",Plan!D22)</f>
        <v/>
      </c>
      <c r="E22" s="13" t="str">
        <f>IF(C22="","",Plan!H22)</f>
        <v/>
      </c>
      <c r="F22" s="13" t="str">
        <f>IF(C22="","",IF(COUNTIFS(Parametry!$C$35:$C$46,E22)=1,INDEX(Parametry!$E$35:$E$46,MATCH(E22,Parametry!$C$35:$C$46,0)),""))</f>
        <v/>
      </c>
      <c r="G22" s="13" t="str">
        <f>IF(C22="","",IF(COUNTIFS(Parametry!$C$35:$C$46,E22)=1,INDEX(Parametry!$K$35:$K$46,MATCH(E22,Parametry!$C$35:$C$46,0)),""))</f>
        <v/>
      </c>
      <c r="H22" s="36" t="str">
        <f>IF(C22="","",Plan!I22)</f>
        <v/>
      </c>
      <c r="I22" s="36" t="str">
        <f>IF(AND(C22&lt;&gt;"",Model!$E$6=1),SUMIFS(Model!$L$9:$L$368,Model!$C$9:$C$368,C22),"")</f>
        <v/>
      </c>
      <c r="J22" s="13" t="str">
        <f>IF(C22="","",IF(COUNTIFS(Parametry!$C$35:$C$46,E22)=1,INDEX(Parametry!$G$35:$G$46,MATCH(E22,Parametry!$C$35:$C$46,0)),""))</f>
        <v/>
      </c>
      <c r="K22" s="13" t="str">
        <f>IF(C22="","",IF(COUNTIFS(Parametry!$C$35:$C$46,E22)=1,INDEX(Parametry!$H$35:$H$46,MATCH(E22,Parametry!$C$35:$C$46,0)),""))</f>
        <v/>
      </c>
      <c r="L22" s="13" t="str">
        <f>IF(C22="","",IF(COUNTIFS(Parametry!$C$35:$C$46,E22)=1,INDEX(Parametry!$I$35:$I$46,MATCH(E22,Parametry!$C$35:$C$46,0)),""))</f>
        <v/>
      </c>
      <c r="M22" s="13" t="str">
        <f>IF(C22="","",IF(COUNTIFS(Parametry!$C$35:$C$46,E22)=1,INDEX(Parametry!$J$35:$J$46,MATCH(E22,Parametry!$C$35:$C$46,0)),""))</f>
        <v/>
      </c>
      <c r="N22" s="37" t="str">
        <f t="shared" si="0"/>
        <v/>
      </c>
      <c r="O22" s="37" t="str">
        <f t="shared" si="1"/>
        <v/>
      </c>
      <c r="P22" s="37" t="str">
        <f t="shared" si="2"/>
        <v/>
      </c>
      <c r="Q22" s="37" t="str">
        <f t="shared" si="3"/>
        <v/>
      </c>
      <c r="R22" s="7"/>
    </row>
    <row r="23" spans="1:18" ht="24" customHeight="1">
      <c r="A23" s="7"/>
      <c r="B23" s="7"/>
      <c r="C23" s="13" t="str">
        <f>IF(Plan!C23="","",Plan!C23)</f>
        <v/>
      </c>
      <c r="D23" s="13" t="str">
        <f>IF(C23="","",Plan!D23)</f>
        <v/>
      </c>
      <c r="E23" s="13" t="str">
        <f>IF(C23="","",Plan!H23)</f>
        <v/>
      </c>
      <c r="F23" s="13" t="str">
        <f>IF(C23="","",IF(COUNTIFS(Parametry!$C$35:$C$46,E23)=1,INDEX(Parametry!$E$35:$E$46,MATCH(E23,Parametry!$C$35:$C$46,0)),""))</f>
        <v/>
      </c>
      <c r="G23" s="13" t="str">
        <f>IF(C23="","",IF(COUNTIFS(Parametry!$C$35:$C$46,E23)=1,INDEX(Parametry!$K$35:$K$46,MATCH(E23,Parametry!$C$35:$C$46,0)),""))</f>
        <v/>
      </c>
      <c r="H23" s="36" t="str">
        <f>IF(C23="","",Plan!I23)</f>
        <v/>
      </c>
      <c r="I23" s="36" t="str">
        <f>IF(AND(C23&lt;&gt;"",Model!$E$6=1),SUMIFS(Model!$L$9:$L$368,Model!$C$9:$C$368,C23),"")</f>
        <v/>
      </c>
      <c r="J23" s="13" t="str">
        <f>IF(C23="","",IF(COUNTIFS(Parametry!$C$35:$C$46,E23)=1,INDEX(Parametry!$G$35:$G$46,MATCH(E23,Parametry!$C$35:$C$46,0)),""))</f>
        <v/>
      </c>
      <c r="K23" s="13" t="str">
        <f>IF(C23="","",IF(COUNTIFS(Parametry!$C$35:$C$46,E23)=1,INDEX(Parametry!$H$35:$H$46,MATCH(E23,Parametry!$C$35:$C$46,0)),""))</f>
        <v/>
      </c>
      <c r="L23" s="13" t="str">
        <f>IF(C23="","",IF(COUNTIFS(Parametry!$C$35:$C$46,E23)=1,INDEX(Parametry!$I$35:$I$46,MATCH(E23,Parametry!$C$35:$C$46,0)),""))</f>
        <v/>
      </c>
      <c r="M23" s="13" t="str">
        <f>IF(C23="","",IF(COUNTIFS(Parametry!$C$35:$C$46,E23)=1,INDEX(Parametry!$J$35:$J$46,MATCH(E23,Parametry!$C$35:$C$46,0)),""))</f>
        <v/>
      </c>
      <c r="N23" s="37" t="str">
        <f t="shared" si="0"/>
        <v/>
      </c>
      <c r="O23" s="37" t="str">
        <f t="shared" si="1"/>
        <v/>
      </c>
      <c r="P23" s="37" t="str">
        <f t="shared" si="2"/>
        <v/>
      </c>
      <c r="Q23" s="37" t="str">
        <f t="shared" si="3"/>
        <v/>
      </c>
      <c r="R23" s="7"/>
    </row>
    <row r="24" spans="1:18" ht="24" customHeight="1">
      <c r="A24" s="7"/>
      <c r="B24" s="7"/>
      <c r="C24" s="13" t="str">
        <f>IF(Plan!C24="","",Plan!C24)</f>
        <v/>
      </c>
      <c r="D24" s="13" t="str">
        <f>IF(C24="","",Plan!D24)</f>
        <v/>
      </c>
      <c r="E24" s="13" t="str">
        <f>IF(C24="","",Plan!H24)</f>
        <v/>
      </c>
      <c r="F24" s="13" t="str">
        <f>IF(C24="","",IF(COUNTIFS(Parametry!$C$35:$C$46,E24)=1,INDEX(Parametry!$E$35:$E$46,MATCH(E24,Parametry!$C$35:$C$46,0)),""))</f>
        <v/>
      </c>
      <c r="G24" s="13" t="str">
        <f>IF(C24="","",IF(COUNTIFS(Parametry!$C$35:$C$46,E24)=1,INDEX(Parametry!$K$35:$K$46,MATCH(E24,Parametry!$C$35:$C$46,0)),""))</f>
        <v/>
      </c>
      <c r="H24" s="36" t="str">
        <f>IF(C24="","",Plan!I24)</f>
        <v/>
      </c>
      <c r="I24" s="36" t="str">
        <f>IF(AND(C24&lt;&gt;"",Model!$E$6=1),SUMIFS(Model!$L$9:$L$368,Model!$C$9:$C$368,C24),"")</f>
        <v/>
      </c>
      <c r="J24" s="13" t="str">
        <f>IF(C24="","",IF(COUNTIFS(Parametry!$C$35:$C$46,E24)=1,INDEX(Parametry!$G$35:$G$46,MATCH(E24,Parametry!$C$35:$C$46,0)),""))</f>
        <v/>
      </c>
      <c r="K24" s="13" t="str">
        <f>IF(C24="","",IF(COUNTIFS(Parametry!$C$35:$C$46,E24)=1,INDEX(Parametry!$H$35:$H$46,MATCH(E24,Parametry!$C$35:$C$46,0)),""))</f>
        <v/>
      </c>
      <c r="L24" s="13" t="str">
        <f>IF(C24="","",IF(COUNTIFS(Parametry!$C$35:$C$46,E24)=1,INDEX(Parametry!$I$35:$I$46,MATCH(E24,Parametry!$C$35:$C$46,0)),""))</f>
        <v/>
      </c>
      <c r="M24" s="13" t="str">
        <f>IF(C24="","",IF(COUNTIFS(Parametry!$C$35:$C$46,E24)=1,INDEX(Parametry!$J$35:$J$46,MATCH(E24,Parametry!$C$35:$C$46,0)),""))</f>
        <v/>
      </c>
      <c r="N24" s="37" t="str">
        <f t="shared" si="0"/>
        <v/>
      </c>
      <c r="O24" s="37" t="str">
        <f t="shared" si="1"/>
        <v/>
      </c>
      <c r="P24" s="37" t="str">
        <f t="shared" si="2"/>
        <v/>
      </c>
      <c r="Q24" s="37" t="str">
        <f t="shared" si="3"/>
        <v/>
      </c>
      <c r="R24" s="7"/>
    </row>
    <row r="25" spans="1:18" ht="24" customHeight="1">
      <c r="A25" s="7"/>
      <c r="B25" s="7"/>
      <c r="C25" s="13" t="str">
        <f>IF(Plan!C25="","",Plan!C25)</f>
        <v/>
      </c>
      <c r="D25" s="13" t="str">
        <f>IF(C25="","",Plan!D25)</f>
        <v/>
      </c>
      <c r="E25" s="13" t="str">
        <f>IF(C25="","",Plan!H25)</f>
        <v/>
      </c>
      <c r="F25" s="13" t="str">
        <f>IF(C25="","",IF(COUNTIFS(Parametry!$C$35:$C$46,E25)=1,INDEX(Parametry!$E$35:$E$46,MATCH(E25,Parametry!$C$35:$C$46,0)),""))</f>
        <v/>
      </c>
      <c r="G25" s="13" t="str">
        <f>IF(C25="","",IF(COUNTIFS(Parametry!$C$35:$C$46,E25)=1,INDEX(Parametry!$K$35:$K$46,MATCH(E25,Parametry!$C$35:$C$46,0)),""))</f>
        <v/>
      </c>
      <c r="H25" s="36" t="str">
        <f>IF(C25="","",Plan!I25)</f>
        <v/>
      </c>
      <c r="I25" s="36" t="str">
        <f>IF(AND(C25&lt;&gt;"",Model!$E$6=1),SUMIFS(Model!$L$9:$L$368,Model!$C$9:$C$368,C25),"")</f>
        <v/>
      </c>
      <c r="J25" s="13" t="str">
        <f>IF(C25="","",IF(COUNTIFS(Parametry!$C$35:$C$46,E25)=1,INDEX(Parametry!$G$35:$G$46,MATCH(E25,Parametry!$C$35:$C$46,0)),""))</f>
        <v/>
      </c>
      <c r="K25" s="13" t="str">
        <f>IF(C25="","",IF(COUNTIFS(Parametry!$C$35:$C$46,E25)=1,INDEX(Parametry!$H$35:$H$46,MATCH(E25,Parametry!$C$35:$C$46,0)),""))</f>
        <v/>
      </c>
      <c r="L25" s="13" t="str">
        <f>IF(C25="","",IF(COUNTIFS(Parametry!$C$35:$C$46,E25)=1,INDEX(Parametry!$I$35:$I$46,MATCH(E25,Parametry!$C$35:$C$46,0)),""))</f>
        <v/>
      </c>
      <c r="M25" s="13" t="str">
        <f>IF(C25="","",IF(COUNTIFS(Parametry!$C$35:$C$46,E25)=1,INDEX(Parametry!$J$35:$J$46,MATCH(E25,Parametry!$C$35:$C$46,0)),""))</f>
        <v/>
      </c>
      <c r="N25" s="37" t="str">
        <f t="shared" si="0"/>
        <v/>
      </c>
      <c r="O25" s="37" t="str">
        <f t="shared" si="1"/>
        <v/>
      </c>
      <c r="P25" s="37" t="str">
        <f t="shared" si="2"/>
        <v/>
      </c>
      <c r="Q25" s="37" t="str">
        <f t="shared" si="3"/>
        <v/>
      </c>
      <c r="R25" s="7"/>
    </row>
    <row r="26" spans="1:18" ht="24" customHeight="1">
      <c r="A26" s="7"/>
      <c r="B26" s="7"/>
      <c r="C26" s="13" t="str">
        <f>IF(Plan!C26="","",Plan!C26)</f>
        <v/>
      </c>
      <c r="D26" s="13" t="str">
        <f>IF(C26="","",Plan!D26)</f>
        <v/>
      </c>
      <c r="E26" s="13" t="str">
        <f>IF(C26="","",Plan!H26)</f>
        <v/>
      </c>
      <c r="F26" s="13" t="str">
        <f>IF(C26="","",IF(COUNTIFS(Parametry!$C$35:$C$46,E26)=1,INDEX(Parametry!$E$35:$E$46,MATCH(E26,Parametry!$C$35:$C$46,0)),""))</f>
        <v/>
      </c>
      <c r="G26" s="13" t="str">
        <f>IF(C26="","",IF(COUNTIFS(Parametry!$C$35:$C$46,E26)=1,INDEX(Parametry!$K$35:$K$46,MATCH(E26,Parametry!$C$35:$C$46,0)),""))</f>
        <v/>
      </c>
      <c r="H26" s="36" t="str">
        <f>IF(C26="","",Plan!I26)</f>
        <v/>
      </c>
      <c r="I26" s="36" t="str">
        <f>IF(AND(C26&lt;&gt;"",Model!$E$6=1),SUMIFS(Model!$L$9:$L$368,Model!$C$9:$C$368,C26),"")</f>
        <v/>
      </c>
      <c r="J26" s="13" t="str">
        <f>IF(C26="","",IF(COUNTIFS(Parametry!$C$35:$C$46,E26)=1,INDEX(Parametry!$G$35:$G$46,MATCH(E26,Parametry!$C$35:$C$46,0)),""))</f>
        <v/>
      </c>
      <c r="K26" s="13" t="str">
        <f>IF(C26="","",IF(COUNTIFS(Parametry!$C$35:$C$46,E26)=1,INDEX(Parametry!$H$35:$H$46,MATCH(E26,Parametry!$C$35:$C$46,0)),""))</f>
        <v/>
      </c>
      <c r="L26" s="13" t="str">
        <f>IF(C26="","",IF(COUNTIFS(Parametry!$C$35:$C$46,E26)=1,INDEX(Parametry!$I$35:$I$46,MATCH(E26,Parametry!$C$35:$C$46,0)),""))</f>
        <v/>
      </c>
      <c r="M26" s="13" t="str">
        <f>IF(C26="","",IF(COUNTIFS(Parametry!$C$35:$C$46,E26)=1,INDEX(Parametry!$J$35:$J$46,MATCH(E26,Parametry!$C$35:$C$46,0)),""))</f>
        <v/>
      </c>
      <c r="N26" s="37" t="str">
        <f t="shared" si="0"/>
        <v/>
      </c>
      <c r="O26" s="37" t="str">
        <f t="shared" si="1"/>
        <v/>
      </c>
      <c r="P26" s="37" t="str">
        <f t="shared" si="2"/>
        <v/>
      </c>
      <c r="Q26" s="37" t="str">
        <f t="shared" si="3"/>
        <v/>
      </c>
      <c r="R26" s="7"/>
    </row>
    <row r="27" spans="1:18" ht="24" customHeight="1">
      <c r="A27" s="7"/>
      <c r="B27" s="7"/>
      <c r="C27" s="13" t="str">
        <f>IF(Plan!C27="","",Plan!C27)</f>
        <v/>
      </c>
      <c r="D27" s="13" t="str">
        <f>IF(C27="","",Plan!D27)</f>
        <v/>
      </c>
      <c r="E27" s="13" t="str">
        <f>IF(C27="","",Plan!H27)</f>
        <v/>
      </c>
      <c r="F27" s="13" t="str">
        <f>IF(C27="","",IF(COUNTIFS(Parametry!$C$35:$C$46,E27)=1,INDEX(Parametry!$E$35:$E$46,MATCH(E27,Parametry!$C$35:$C$46,0)),""))</f>
        <v/>
      </c>
      <c r="G27" s="13" t="str">
        <f>IF(C27="","",IF(COUNTIFS(Parametry!$C$35:$C$46,E27)=1,INDEX(Parametry!$K$35:$K$46,MATCH(E27,Parametry!$C$35:$C$46,0)),""))</f>
        <v/>
      </c>
      <c r="H27" s="36" t="str">
        <f>IF(C27="","",Plan!I27)</f>
        <v/>
      </c>
      <c r="I27" s="36" t="str">
        <f>IF(AND(C27&lt;&gt;"",Model!$E$6=1),SUMIFS(Model!$L$9:$L$368,Model!$C$9:$C$368,C27),"")</f>
        <v/>
      </c>
      <c r="J27" s="13" t="str">
        <f>IF(C27="","",IF(COUNTIFS(Parametry!$C$35:$C$46,E27)=1,INDEX(Parametry!$G$35:$G$46,MATCH(E27,Parametry!$C$35:$C$46,0)),""))</f>
        <v/>
      </c>
      <c r="K27" s="13" t="str">
        <f>IF(C27="","",IF(COUNTIFS(Parametry!$C$35:$C$46,E27)=1,INDEX(Parametry!$H$35:$H$46,MATCH(E27,Parametry!$C$35:$C$46,0)),""))</f>
        <v/>
      </c>
      <c r="L27" s="13" t="str">
        <f>IF(C27="","",IF(COUNTIFS(Parametry!$C$35:$C$46,E27)=1,INDEX(Parametry!$I$35:$I$46,MATCH(E27,Parametry!$C$35:$C$46,0)),""))</f>
        <v/>
      </c>
      <c r="M27" s="13" t="str">
        <f>IF(C27="","",IF(COUNTIFS(Parametry!$C$35:$C$46,E27)=1,INDEX(Parametry!$J$35:$J$46,MATCH(E27,Parametry!$C$35:$C$46,0)),""))</f>
        <v/>
      </c>
      <c r="N27" s="37" t="str">
        <f t="shared" si="0"/>
        <v/>
      </c>
      <c r="O27" s="37" t="str">
        <f t="shared" si="1"/>
        <v/>
      </c>
      <c r="P27" s="37" t="str">
        <f t="shared" si="2"/>
        <v/>
      </c>
      <c r="Q27" s="37" t="str">
        <f t="shared" si="3"/>
        <v/>
      </c>
      <c r="R27" s="7"/>
    </row>
    <row r="28" spans="1:18" ht="24" customHeight="1">
      <c r="A28" s="7"/>
      <c r="B28" s="7"/>
      <c r="C28" s="13" t="str">
        <f>IF(Plan!C28="","",Plan!C28)</f>
        <v/>
      </c>
      <c r="D28" s="13" t="str">
        <f>IF(C28="","",Plan!D28)</f>
        <v/>
      </c>
      <c r="E28" s="13" t="str">
        <f>IF(C28="","",Plan!H28)</f>
        <v/>
      </c>
      <c r="F28" s="13" t="str">
        <f>IF(C28="","",IF(COUNTIFS(Parametry!$C$35:$C$46,E28)=1,INDEX(Parametry!$E$35:$E$46,MATCH(E28,Parametry!$C$35:$C$46,0)),""))</f>
        <v/>
      </c>
      <c r="G28" s="13" t="str">
        <f>IF(C28="","",IF(COUNTIFS(Parametry!$C$35:$C$46,E28)=1,INDEX(Parametry!$K$35:$K$46,MATCH(E28,Parametry!$C$35:$C$46,0)),""))</f>
        <v/>
      </c>
      <c r="H28" s="36" t="str">
        <f>IF(C28="","",Plan!I28)</f>
        <v/>
      </c>
      <c r="I28" s="36" t="str">
        <f>IF(AND(C28&lt;&gt;"",Model!$E$6=1),SUMIFS(Model!$L$9:$L$368,Model!$C$9:$C$368,C28),"")</f>
        <v/>
      </c>
      <c r="J28" s="13" t="str">
        <f>IF(C28="","",IF(COUNTIFS(Parametry!$C$35:$C$46,E28)=1,INDEX(Parametry!$G$35:$G$46,MATCH(E28,Parametry!$C$35:$C$46,0)),""))</f>
        <v/>
      </c>
      <c r="K28" s="13" t="str">
        <f>IF(C28="","",IF(COUNTIFS(Parametry!$C$35:$C$46,E28)=1,INDEX(Parametry!$H$35:$H$46,MATCH(E28,Parametry!$C$35:$C$46,0)),""))</f>
        <v/>
      </c>
      <c r="L28" s="13" t="str">
        <f>IF(C28="","",IF(COUNTIFS(Parametry!$C$35:$C$46,E28)=1,INDEX(Parametry!$I$35:$I$46,MATCH(E28,Parametry!$C$35:$C$46,0)),""))</f>
        <v/>
      </c>
      <c r="M28" s="13" t="str">
        <f>IF(C28="","",IF(COUNTIFS(Parametry!$C$35:$C$46,E28)=1,INDEX(Parametry!$J$35:$J$46,MATCH(E28,Parametry!$C$35:$C$46,0)),""))</f>
        <v/>
      </c>
      <c r="N28" s="37" t="str">
        <f t="shared" si="0"/>
        <v/>
      </c>
      <c r="O28" s="37" t="str">
        <f t="shared" si="1"/>
        <v/>
      </c>
      <c r="P28" s="37" t="str">
        <f t="shared" si="2"/>
        <v/>
      </c>
      <c r="Q28" s="37" t="str">
        <f t="shared" si="3"/>
        <v/>
      </c>
      <c r="R28" s="7"/>
    </row>
    <row r="29" spans="1:18" ht="24" customHeight="1">
      <c r="A29" s="7"/>
      <c r="B29" s="7"/>
      <c r="C29" s="13" t="str">
        <f>IF(Plan!C29="","",Plan!C29)</f>
        <v/>
      </c>
      <c r="D29" s="13" t="str">
        <f>IF(C29="","",Plan!D29)</f>
        <v/>
      </c>
      <c r="E29" s="13" t="str">
        <f>IF(C29="","",Plan!H29)</f>
        <v/>
      </c>
      <c r="F29" s="13" t="str">
        <f>IF(C29="","",IF(COUNTIFS(Parametry!$C$35:$C$46,E29)=1,INDEX(Parametry!$E$35:$E$46,MATCH(E29,Parametry!$C$35:$C$46,0)),""))</f>
        <v/>
      </c>
      <c r="G29" s="13" t="str">
        <f>IF(C29="","",IF(COUNTIFS(Parametry!$C$35:$C$46,E29)=1,INDEX(Parametry!$K$35:$K$46,MATCH(E29,Parametry!$C$35:$C$46,0)),""))</f>
        <v/>
      </c>
      <c r="H29" s="36" t="str">
        <f>IF(C29="","",Plan!I29)</f>
        <v/>
      </c>
      <c r="I29" s="36" t="str">
        <f>IF(AND(C29&lt;&gt;"",Model!$E$6=1),SUMIFS(Model!$L$9:$L$368,Model!$C$9:$C$368,C29),"")</f>
        <v/>
      </c>
      <c r="J29" s="13" t="str">
        <f>IF(C29="","",IF(COUNTIFS(Parametry!$C$35:$C$46,E29)=1,INDEX(Parametry!$G$35:$G$46,MATCH(E29,Parametry!$C$35:$C$46,0)),""))</f>
        <v/>
      </c>
      <c r="K29" s="13" t="str">
        <f>IF(C29="","",IF(COUNTIFS(Parametry!$C$35:$C$46,E29)=1,INDEX(Parametry!$H$35:$H$46,MATCH(E29,Parametry!$C$35:$C$46,0)),""))</f>
        <v/>
      </c>
      <c r="L29" s="13" t="str">
        <f>IF(C29="","",IF(COUNTIFS(Parametry!$C$35:$C$46,E29)=1,INDEX(Parametry!$I$35:$I$46,MATCH(E29,Parametry!$C$35:$C$46,0)),""))</f>
        <v/>
      </c>
      <c r="M29" s="13" t="str">
        <f>IF(C29="","",IF(COUNTIFS(Parametry!$C$35:$C$46,E29)=1,INDEX(Parametry!$J$35:$J$46,MATCH(E29,Parametry!$C$35:$C$46,0)),""))</f>
        <v/>
      </c>
      <c r="N29" s="37" t="str">
        <f t="shared" si="0"/>
        <v/>
      </c>
      <c r="O29" s="37" t="str">
        <f t="shared" si="1"/>
        <v/>
      </c>
      <c r="P29" s="37" t="str">
        <f t="shared" si="2"/>
        <v/>
      </c>
      <c r="Q29" s="37" t="str">
        <f t="shared" si="3"/>
        <v/>
      </c>
      <c r="R29" s="7"/>
    </row>
    <row r="30" spans="1:18" ht="24" customHeight="1">
      <c r="A30" s="7"/>
      <c r="B30" s="7"/>
      <c r="C30" s="13" t="str">
        <f>IF(Plan!C30="","",Plan!C30)</f>
        <v/>
      </c>
      <c r="D30" s="13" t="str">
        <f>IF(C30="","",Plan!D30)</f>
        <v/>
      </c>
      <c r="E30" s="13" t="str">
        <f>IF(C30="","",Plan!H30)</f>
        <v/>
      </c>
      <c r="F30" s="13" t="str">
        <f>IF(C30="","",IF(COUNTIFS(Parametry!$C$35:$C$46,E30)=1,INDEX(Parametry!$E$35:$E$46,MATCH(E30,Parametry!$C$35:$C$46,0)),""))</f>
        <v/>
      </c>
      <c r="G30" s="13" t="str">
        <f>IF(C30="","",IF(COUNTIFS(Parametry!$C$35:$C$46,E30)=1,INDEX(Parametry!$K$35:$K$46,MATCH(E30,Parametry!$C$35:$C$46,0)),""))</f>
        <v/>
      </c>
      <c r="H30" s="36" t="str">
        <f>IF(C30="","",Plan!I30)</f>
        <v/>
      </c>
      <c r="I30" s="36" t="str">
        <f>IF(AND(C30&lt;&gt;"",Model!$E$6=1),SUMIFS(Model!$L$9:$L$368,Model!$C$9:$C$368,C30),"")</f>
        <v/>
      </c>
      <c r="J30" s="13" t="str">
        <f>IF(C30="","",IF(COUNTIFS(Parametry!$C$35:$C$46,E30)=1,INDEX(Parametry!$G$35:$G$46,MATCH(E30,Parametry!$C$35:$C$46,0)),""))</f>
        <v/>
      </c>
      <c r="K30" s="13" t="str">
        <f>IF(C30="","",IF(COUNTIFS(Parametry!$C$35:$C$46,E30)=1,INDEX(Parametry!$H$35:$H$46,MATCH(E30,Parametry!$C$35:$C$46,0)),""))</f>
        <v/>
      </c>
      <c r="L30" s="13" t="str">
        <f>IF(C30="","",IF(COUNTIFS(Parametry!$C$35:$C$46,E30)=1,INDEX(Parametry!$I$35:$I$46,MATCH(E30,Parametry!$C$35:$C$46,0)),""))</f>
        <v/>
      </c>
      <c r="M30" s="13" t="str">
        <f>IF(C30="","",IF(COUNTIFS(Parametry!$C$35:$C$46,E30)=1,INDEX(Parametry!$J$35:$J$46,MATCH(E30,Parametry!$C$35:$C$46,0)),""))</f>
        <v/>
      </c>
      <c r="N30" s="37" t="str">
        <f t="shared" si="0"/>
        <v/>
      </c>
      <c r="O30" s="37" t="str">
        <f t="shared" si="1"/>
        <v/>
      </c>
      <c r="P30" s="37" t="str">
        <f t="shared" si="2"/>
        <v/>
      </c>
      <c r="Q30" s="37" t="str">
        <f t="shared" si="3"/>
        <v/>
      </c>
      <c r="R30" s="7"/>
    </row>
    <row r="31" spans="1:18" ht="24" customHeight="1">
      <c r="A31" s="7"/>
      <c r="B31" s="7"/>
      <c r="C31" s="13" t="str">
        <f>IF(Plan!C31="","",Plan!C31)</f>
        <v/>
      </c>
      <c r="D31" s="13" t="str">
        <f>IF(C31="","",Plan!D31)</f>
        <v/>
      </c>
      <c r="E31" s="13" t="str">
        <f>IF(C31="","",Plan!H31)</f>
        <v/>
      </c>
      <c r="F31" s="13" t="str">
        <f>IF(C31="","",IF(COUNTIFS(Parametry!$C$35:$C$46,E31)=1,INDEX(Parametry!$E$35:$E$46,MATCH(E31,Parametry!$C$35:$C$46,0)),""))</f>
        <v/>
      </c>
      <c r="G31" s="13" t="str">
        <f>IF(C31="","",IF(COUNTIFS(Parametry!$C$35:$C$46,E31)=1,INDEX(Parametry!$K$35:$K$46,MATCH(E31,Parametry!$C$35:$C$46,0)),""))</f>
        <v/>
      </c>
      <c r="H31" s="36" t="str">
        <f>IF(C31="","",Plan!I31)</f>
        <v/>
      </c>
      <c r="I31" s="36" t="str">
        <f>IF(AND(C31&lt;&gt;"",Model!$E$6=1),SUMIFS(Model!$L$9:$L$368,Model!$C$9:$C$368,C31),"")</f>
        <v/>
      </c>
      <c r="J31" s="13" t="str">
        <f>IF(C31="","",IF(COUNTIFS(Parametry!$C$35:$C$46,E31)=1,INDEX(Parametry!$G$35:$G$46,MATCH(E31,Parametry!$C$35:$C$46,0)),""))</f>
        <v/>
      </c>
      <c r="K31" s="13" t="str">
        <f>IF(C31="","",IF(COUNTIFS(Parametry!$C$35:$C$46,E31)=1,INDEX(Parametry!$H$35:$H$46,MATCH(E31,Parametry!$C$35:$C$46,0)),""))</f>
        <v/>
      </c>
      <c r="L31" s="13" t="str">
        <f>IF(C31="","",IF(COUNTIFS(Parametry!$C$35:$C$46,E31)=1,INDEX(Parametry!$I$35:$I$46,MATCH(E31,Parametry!$C$35:$C$46,0)),""))</f>
        <v/>
      </c>
      <c r="M31" s="13" t="str">
        <f>IF(C31="","",IF(COUNTIFS(Parametry!$C$35:$C$46,E31)=1,INDEX(Parametry!$J$35:$J$46,MATCH(E31,Parametry!$C$35:$C$46,0)),""))</f>
        <v/>
      </c>
      <c r="N31" s="37" t="str">
        <f t="shared" si="0"/>
        <v/>
      </c>
      <c r="O31" s="37" t="str">
        <f t="shared" si="1"/>
        <v/>
      </c>
      <c r="P31" s="37" t="str">
        <f t="shared" si="2"/>
        <v/>
      </c>
      <c r="Q31" s="37" t="str">
        <f t="shared" si="3"/>
        <v/>
      </c>
      <c r="R31" s="7"/>
    </row>
    <row r="32" spans="1:18" ht="24" customHeight="1">
      <c r="A32" s="7"/>
      <c r="B32" s="7"/>
      <c r="C32" s="13" t="str">
        <f>IF(Plan!C32="","",Plan!C32)</f>
        <v/>
      </c>
      <c r="D32" s="13" t="str">
        <f>IF(C32="","",Plan!D32)</f>
        <v/>
      </c>
      <c r="E32" s="13" t="str">
        <f>IF(C32="","",Plan!H32)</f>
        <v/>
      </c>
      <c r="F32" s="13" t="str">
        <f>IF(C32="","",IF(COUNTIFS(Parametry!$C$35:$C$46,E32)=1,INDEX(Parametry!$E$35:$E$46,MATCH(E32,Parametry!$C$35:$C$46,0)),""))</f>
        <v/>
      </c>
      <c r="G32" s="13" t="str">
        <f>IF(C32="","",IF(COUNTIFS(Parametry!$C$35:$C$46,E32)=1,INDEX(Parametry!$K$35:$K$46,MATCH(E32,Parametry!$C$35:$C$46,0)),""))</f>
        <v/>
      </c>
      <c r="H32" s="36" t="str">
        <f>IF(C32="","",Plan!I32)</f>
        <v/>
      </c>
      <c r="I32" s="36" t="str">
        <f>IF(AND(C32&lt;&gt;"",Model!$E$6=1),SUMIFS(Model!$L$9:$L$368,Model!$C$9:$C$368,C32),"")</f>
        <v/>
      </c>
      <c r="J32" s="13" t="str">
        <f>IF(C32="","",IF(COUNTIFS(Parametry!$C$35:$C$46,E32)=1,INDEX(Parametry!$G$35:$G$46,MATCH(E32,Parametry!$C$35:$C$46,0)),""))</f>
        <v/>
      </c>
      <c r="K32" s="13" t="str">
        <f>IF(C32="","",IF(COUNTIFS(Parametry!$C$35:$C$46,E32)=1,INDEX(Parametry!$H$35:$H$46,MATCH(E32,Parametry!$C$35:$C$46,0)),""))</f>
        <v/>
      </c>
      <c r="L32" s="13" t="str">
        <f>IF(C32="","",IF(COUNTIFS(Parametry!$C$35:$C$46,E32)=1,INDEX(Parametry!$I$35:$I$46,MATCH(E32,Parametry!$C$35:$C$46,0)),""))</f>
        <v/>
      </c>
      <c r="M32" s="13" t="str">
        <f>IF(C32="","",IF(COUNTIFS(Parametry!$C$35:$C$46,E32)=1,INDEX(Parametry!$J$35:$J$46,MATCH(E32,Parametry!$C$35:$C$46,0)),""))</f>
        <v/>
      </c>
      <c r="N32" s="37" t="str">
        <f t="shared" si="0"/>
        <v/>
      </c>
      <c r="O32" s="37" t="str">
        <f t="shared" si="1"/>
        <v/>
      </c>
      <c r="P32" s="37" t="str">
        <f t="shared" si="2"/>
        <v/>
      </c>
      <c r="Q32" s="37" t="str">
        <f t="shared" si="3"/>
        <v/>
      </c>
      <c r="R32" s="7"/>
    </row>
    <row r="33" spans="1:18" ht="24" customHeight="1">
      <c r="A33" s="7"/>
      <c r="B33" s="7"/>
      <c r="C33" s="13" t="str">
        <f>IF(Plan!C33="","",Plan!C33)</f>
        <v/>
      </c>
      <c r="D33" s="13" t="str">
        <f>IF(C33="","",Plan!D33)</f>
        <v/>
      </c>
      <c r="E33" s="13" t="str">
        <f>IF(C33="","",Plan!H33)</f>
        <v/>
      </c>
      <c r="F33" s="13" t="str">
        <f>IF(C33="","",IF(COUNTIFS(Parametry!$C$35:$C$46,E33)=1,INDEX(Parametry!$E$35:$E$46,MATCH(E33,Parametry!$C$35:$C$46,0)),""))</f>
        <v/>
      </c>
      <c r="G33" s="13" t="str">
        <f>IF(C33="","",IF(COUNTIFS(Parametry!$C$35:$C$46,E33)=1,INDEX(Parametry!$K$35:$K$46,MATCH(E33,Parametry!$C$35:$C$46,0)),""))</f>
        <v/>
      </c>
      <c r="H33" s="36" t="str">
        <f>IF(C33="","",Plan!I33)</f>
        <v/>
      </c>
      <c r="I33" s="36" t="str">
        <f>IF(AND(C33&lt;&gt;"",Model!$E$6=1),SUMIFS(Model!$L$9:$L$368,Model!$C$9:$C$368,C33),"")</f>
        <v/>
      </c>
      <c r="J33" s="13" t="str">
        <f>IF(C33="","",IF(COUNTIFS(Parametry!$C$35:$C$46,E33)=1,INDEX(Parametry!$G$35:$G$46,MATCH(E33,Parametry!$C$35:$C$46,0)),""))</f>
        <v/>
      </c>
      <c r="K33" s="13" t="str">
        <f>IF(C33="","",IF(COUNTIFS(Parametry!$C$35:$C$46,E33)=1,INDEX(Parametry!$H$35:$H$46,MATCH(E33,Parametry!$C$35:$C$46,0)),""))</f>
        <v/>
      </c>
      <c r="L33" s="13" t="str">
        <f>IF(C33="","",IF(COUNTIFS(Parametry!$C$35:$C$46,E33)=1,INDEX(Parametry!$I$35:$I$46,MATCH(E33,Parametry!$C$35:$C$46,0)),""))</f>
        <v/>
      </c>
      <c r="M33" s="13" t="str">
        <f>IF(C33="","",IF(COUNTIFS(Parametry!$C$35:$C$46,E33)=1,INDEX(Parametry!$J$35:$J$46,MATCH(E33,Parametry!$C$35:$C$46,0)),""))</f>
        <v/>
      </c>
      <c r="N33" s="37" t="str">
        <f t="shared" si="0"/>
        <v/>
      </c>
      <c r="O33" s="37" t="str">
        <f t="shared" si="1"/>
        <v/>
      </c>
      <c r="P33" s="37" t="str">
        <f t="shared" si="2"/>
        <v/>
      </c>
      <c r="Q33" s="37" t="str">
        <f t="shared" si="3"/>
        <v/>
      </c>
      <c r="R33" s="7"/>
    </row>
    <row r="34" spans="1:18" ht="24" customHeight="1">
      <c r="A34" s="7"/>
      <c r="B34" s="7"/>
      <c r="C34" s="13" t="str">
        <f>IF(Plan!C34="","",Plan!C34)</f>
        <v/>
      </c>
      <c r="D34" s="13" t="str">
        <f>IF(C34="","",Plan!D34)</f>
        <v/>
      </c>
      <c r="E34" s="13" t="str">
        <f>IF(C34="","",Plan!H34)</f>
        <v/>
      </c>
      <c r="F34" s="13" t="str">
        <f>IF(C34="","",IF(COUNTIFS(Parametry!$C$35:$C$46,E34)=1,INDEX(Parametry!$E$35:$E$46,MATCH(E34,Parametry!$C$35:$C$46,0)),""))</f>
        <v/>
      </c>
      <c r="G34" s="13" t="str">
        <f>IF(C34="","",IF(COUNTIFS(Parametry!$C$35:$C$46,E34)=1,INDEX(Parametry!$K$35:$K$46,MATCH(E34,Parametry!$C$35:$C$46,0)),""))</f>
        <v/>
      </c>
      <c r="H34" s="36" t="str">
        <f>IF(C34="","",Plan!I34)</f>
        <v/>
      </c>
      <c r="I34" s="36" t="str">
        <f>IF(AND(C34&lt;&gt;"",Model!$E$6=1),SUMIFS(Model!$L$9:$L$368,Model!$C$9:$C$368,C34),"")</f>
        <v/>
      </c>
      <c r="J34" s="13" t="str">
        <f>IF(C34="","",IF(COUNTIFS(Parametry!$C$35:$C$46,E34)=1,INDEX(Parametry!$G$35:$G$46,MATCH(E34,Parametry!$C$35:$C$46,0)),""))</f>
        <v/>
      </c>
      <c r="K34" s="13" t="str">
        <f>IF(C34="","",IF(COUNTIFS(Parametry!$C$35:$C$46,E34)=1,INDEX(Parametry!$H$35:$H$46,MATCH(E34,Parametry!$C$35:$C$46,0)),""))</f>
        <v/>
      </c>
      <c r="L34" s="13" t="str">
        <f>IF(C34="","",IF(COUNTIFS(Parametry!$C$35:$C$46,E34)=1,INDEX(Parametry!$I$35:$I$46,MATCH(E34,Parametry!$C$35:$C$46,0)),""))</f>
        <v/>
      </c>
      <c r="M34" s="13" t="str">
        <f>IF(C34="","",IF(COUNTIFS(Parametry!$C$35:$C$46,E34)=1,INDEX(Parametry!$J$35:$J$46,MATCH(E34,Parametry!$C$35:$C$46,0)),""))</f>
        <v/>
      </c>
      <c r="N34" s="37" t="str">
        <f t="shared" si="0"/>
        <v/>
      </c>
      <c r="O34" s="37" t="str">
        <f t="shared" si="1"/>
        <v/>
      </c>
      <c r="P34" s="37" t="str">
        <f t="shared" si="2"/>
        <v/>
      </c>
      <c r="Q34" s="37" t="str">
        <f t="shared" si="3"/>
        <v/>
      </c>
      <c r="R34" s="7"/>
    </row>
    <row r="35" spans="1:18" ht="24" customHeight="1">
      <c r="A35" s="7"/>
      <c r="B35" s="7"/>
      <c r="C35" s="13" t="str">
        <f>IF(Plan!C35="","",Plan!C35)</f>
        <v/>
      </c>
      <c r="D35" s="13" t="str">
        <f>IF(C35="","",Plan!D35)</f>
        <v/>
      </c>
      <c r="E35" s="13" t="str">
        <f>IF(C35="","",Plan!H35)</f>
        <v/>
      </c>
      <c r="F35" s="13" t="str">
        <f>IF(C35="","",IF(COUNTIFS(Parametry!$C$35:$C$46,E35)=1,INDEX(Parametry!$E$35:$E$46,MATCH(E35,Parametry!$C$35:$C$46,0)),""))</f>
        <v/>
      </c>
      <c r="G35" s="13" t="str">
        <f>IF(C35="","",IF(COUNTIFS(Parametry!$C$35:$C$46,E35)=1,INDEX(Parametry!$K$35:$K$46,MATCH(E35,Parametry!$C$35:$C$46,0)),""))</f>
        <v/>
      </c>
      <c r="H35" s="36" t="str">
        <f>IF(C35="","",Plan!I35)</f>
        <v/>
      </c>
      <c r="I35" s="36" t="str">
        <f>IF(AND(C35&lt;&gt;"",Model!$E$6=1),SUMIFS(Model!$L$9:$L$368,Model!$C$9:$C$368,C35),"")</f>
        <v/>
      </c>
      <c r="J35" s="13" t="str">
        <f>IF(C35="","",IF(COUNTIFS(Parametry!$C$35:$C$46,E35)=1,INDEX(Parametry!$G$35:$G$46,MATCH(E35,Parametry!$C$35:$C$46,0)),""))</f>
        <v/>
      </c>
      <c r="K35" s="13" t="str">
        <f>IF(C35="","",IF(COUNTIFS(Parametry!$C$35:$C$46,E35)=1,INDEX(Parametry!$H$35:$H$46,MATCH(E35,Parametry!$C$35:$C$46,0)),""))</f>
        <v/>
      </c>
      <c r="L35" s="13" t="str">
        <f>IF(C35="","",IF(COUNTIFS(Parametry!$C$35:$C$46,E35)=1,INDEX(Parametry!$I$35:$I$46,MATCH(E35,Parametry!$C$35:$C$46,0)),""))</f>
        <v/>
      </c>
      <c r="M35" s="13" t="str">
        <f>IF(C35="","",IF(COUNTIFS(Parametry!$C$35:$C$46,E35)=1,INDEX(Parametry!$J$35:$J$46,MATCH(E35,Parametry!$C$35:$C$46,0)),""))</f>
        <v/>
      </c>
      <c r="N35" s="37" t="str">
        <f t="shared" si="0"/>
        <v/>
      </c>
      <c r="O35" s="37" t="str">
        <f t="shared" si="1"/>
        <v/>
      </c>
      <c r="P35" s="37" t="str">
        <f t="shared" si="2"/>
        <v/>
      </c>
      <c r="Q35" s="37" t="str">
        <f t="shared" si="3"/>
        <v/>
      </c>
      <c r="R35" s="7"/>
    </row>
    <row r="36" spans="1:18" ht="24" customHeight="1">
      <c r="A36" s="7"/>
      <c r="B36" s="7"/>
      <c r="C36" s="13" t="str">
        <f>IF(Plan!C36="","",Plan!C36)</f>
        <v/>
      </c>
      <c r="D36" s="13" t="str">
        <f>IF(C36="","",Plan!D36)</f>
        <v/>
      </c>
      <c r="E36" s="13" t="str">
        <f>IF(C36="","",Plan!H36)</f>
        <v/>
      </c>
      <c r="F36" s="13" t="str">
        <f>IF(C36="","",IF(COUNTIFS(Parametry!$C$35:$C$46,E36)=1,INDEX(Parametry!$E$35:$E$46,MATCH(E36,Parametry!$C$35:$C$46,0)),""))</f>
        <v/>
      </c>
      <c r="G36" s="13" t="str">
        <f>IF(C36="","",IF(COUNTIFS(Parametry!$C$35:$C$46,E36)=1,INDEX(Parametry!$K$35:$K$46,MATCH(E36,Parametry!$C$35:$C$46,0)),""))</f>
        <v/>
      </c>
      <c r="H36" s="36" t="str">
        <f>IF(C36="","",Plan!I36)</f>
        <v/>
      </c>
      <c r="I36" s="36" t="str">
        <f>IF(AND(C36&lt;&gt;"",Model!$E$6=1),SUMIFS(Model!$L$9:$L$368,Model!$C$9:$C$368,C36),"")</f>
        <v/>
      </c>
      <c r="J36" s="13" t="str">
        <f>IF(C36="","",IF(COUNTIFS(Parametry!$C$35:$C$46,E36)=1,INDEX(Parametry!$G$35:$G$46,MATCH(E36,Parametry!$C$35:$C$46,0)),""))</f>
        <v/>
      </c>
      <c r="K36" s="13" t="str">
        <f>IF(C36="","",IF(COUNTIFS(Parametry!$C$35:$C$46,E36)=1,INDEX(Parametry!$H$35:$H$46,MATCH(E36,Parametry!$C$35:$C$46,0)),""))</f>
        <v/>
      </c>
      <c r="L36" s="13" t="str">
        <f>IF(C36="","",IF(COUNTIFS(Parametry!$C$35:$C$46,E36)=1,INDEX(Parametry!$I$35:$I$46,MATCH(E36,Parametry!$C$35:$C$46,0)),""))</f>
        <v/>
      </c>
      <c r="M36" s="13" t="str">
        <f>IF(C36="","",IF(COUNTIFS(Parametry!$C$35:$C$46,E36)=1,INDEX(Parametry!$J$35:$J$46,MATCH(E36,Parametry!$C$35:$C$46,0)),""))</f>
        <v/>
      </c>
      <c r="N36" s="37" t="str">
        <f t="shared" si="0"/>
        <v/>
      </c>
      <c r="O36" s="37" t="str">
        <f t="shared" si="1"/>
        <v/>
      </c>
      <c r="P36" s="37" t="str">
        <f t="shared" si="2"/>
        <v/>
      </c>
      <c r="Q36" s="37" t="str">
        <f t="shared" si="3"/>
        <v/>
      </c>
      <c r="R36" s="7"/>
    </row>
    <row r="37" spans="1:18" ht="24" customHeight="1">
      <c r="A37" s="7"/>
      <c r="B37" s="7"/>
      <c r="C37" s="13" t="str">
        <f>IF(Plan!C37="","",Plan!C37)</f>
        <v/>
      </c>
      <c r="D37" s="13" t="str">
        <f>IF(C37="","",Plan!D37)</f>
        <v/>
      </c>
      <c r="E37" s="13" t="str">
        <f>IF(C37="","",Plan!H37)</f>
        <v/>
      </c>
      <c r="F37" s="13" t="str">
        <f>IF(C37="","",IF(COUNTIFS(Parametry!$C$35:$C$46,E37)=1,INDEX(Parametry!$E$35:$E$46,MATCH(E37,Parametry!$C$35:$C$46,0)),""))</f>
        <v/>
      </c>
      <c r="G37" s="13" t="str">
        <f>IF(C37="","",IF(COUNTIFS(Parametry!$C$35:$C$46,E37)=1,INDEX(Parametry!$K$35:$K$46,MATCH(E37,Parametry!$C$35:$C$46,0)),""))</f>
        <v/>
      </c>
      <c r="H37" s="36" t="str">
        <f>IF(C37="","",Plan!I37)</f>
        <v/>
      </c>
      <c r="I37" s="36" t="str">
        <f>IF(AND(C37&lt;&gt;"",Model!$E$6=1),SUMIFS(Model!$L$9:$L$368,Model!$C$9:$C$368,C37),"")</f>
        <v/>
      </c>
      <c r="J37" s="13" t="str">
        <f>IF(C37="","",IF(COUNTIFS(Parametry!$C$35:$C$46,E37)=1,INDEX(Parametry!$G$35:$G$46,MATCH(E37,Parametry!$C$35:$C$46,0)),""))</f>
        <v/>
      </c>
      <c r="K37" s="13" t="str">
        <f>IF(C37="","",IF(COUNTIFS(Parametry!$C$35:$C$46,E37)=1,INDEX(Parametry!$H$35:$H$46,MATCH(E37,Parametry!$C$35:$C$46,0)),""))</f>
        <v/>
      </c>
      <c r="L37" s="13" t="str">
        <f>IF(C37="","",IF(COUNTIFS(Parametry!$C$35:$C$46,E37)=1,INDEX(Parametry!$I$35:$I$46,MATCH(E37,Parametry!$C$35:$C$46,0)),""))</f>
        <v/>
      </c>
      <c r="M37" s="13" t="str">
        <f>IF(C37="","",IF(COUNTIFS(Parametry!$C$35:$C$46,E37)=1,INDEX(Parametry!$J$35:$J$46,MATCH(E37,Parametry!$C$35:$C$46,0)),""))</f>
        <v/>
      </c>
      <c r="N37" s="37" t="str">
        <f t="shared" si="0"/>
        <v/>
      </c>
      <c r="O37" s="37" t="str">
        <f t="shared" si="1"/>
        <v/>
      </c>
      <c r="P37" s="37" t="str">
        <f t="shared" si="2"/>
        <v/>
      </c>
      <c r="Q37" s="37" t="str">
        <f t="shared" si="3"/>
        <v/>
      </c>
      <c r="R37" s="7"/>
    </row>
    <row r="38" spans="1:18" ht="24" customHeight="1">
      <c r="A38" s="7"/>
      <c r="B38" s="7"/>
      <c r="C38" s="13" t="str">
        <f>IF(Plan!C38="","",Plan!C38)</f>
        <v/>
      </c>
      <c r="D38" s="13" t="str">
        <f>IF(C38="","",Plan!D38)</f>
        <v/>
      </c>
      <c r="E38" s="13" t="str">
        <f>IF(C38="","",Plan!H38)</f>
        <v/>
      </c>
      <c r="F38" s="13" t="str">
        <f>IF(C38="","",IF(COUNTIFS(Parametry!$C$35:$C$46,E38)=1,INDEX(Parametry!$E$35:$E$46,MATCH(E38,Parametry!$C$35:$C$46,0)),""))</f>
        <v/>
      </c>
      <c r="G38" s="13" t="str">
        <f>IF(C38="","",IF(COUNTIFS(Parametry!$C$35:$C$46,E38)=1,INDEX(Parametry!$K$35:$K$46,MATCH(E38,Parametry!$C$35:$C$46,0)),""))</f>
        <v/>
      </c>
      <c r="H38" s="36" t="str">
        <f>IF(C38="","",Plan!I38)</f>
        <v/>
      </c>
      <c r="I38" s="36" t="str">
        <f>IF(AND(C38&lt;&gt;"",Model!$E$6=1),SUMIFS(Model!$L$9:$L$368,Model!$C$9:$C$368,C38),"")</f>
        <v/>
      </c>
      <c r="J38" s="13" t="str">
        <f>IF(C38="","",IF(COUNTIFS(Parametry!$C$35:$C$46,E38)=1,INDEX(Parametry!$G$35:$G$46,MATCH(E38,Parametry!$C$35:$C$46,0)),""))</f>
        <v/>
      </c>
      <c r="K38" s="13" t="str">
        <f>IF(C38="","",IF(COUNTIFS(Parametry!$C$35:$C$46,E38)=1,INDEX(Parametry!$H$35:$H$46,MATCH(E38,Parametry!$C$35:$C$46,0)),""))</f>
        <v/>
      </c>
      <c r="L38" s="13" t="str">
        <f>IF(C38="","",IF(COUNTIFS(Parametry!$C$35:$C$46,E38)=1,INDEX(Parametry!$I$35:$I$46,MATCH(E38,Parametry!$C$35:$C$46,0)),""))</f>
        <v/>
      </c>
      <c r="M38" s="13" t="str">
        <f>IF(C38="","",IF(COUNTIFS(Parametry!$C$35:$C$46,E38)=1,INDEX(Parametry!$J$35:$J$46,MATCH(E38,Parametry!$C$35:$C$46,0)),""))</f>
        <v/>
      </c>
      <c r="N38" s="37" t="str">
        <f t="shared" si="0"/>
        <v/>
      </c>
      <c r="O38" s="37" t="str">
        <f t="shared" si="1"/>
        <v/>
      </c>
      <c r="P38" s="37" t="str">
        <f t="shared" si="2"/>
        <v/>
      </c>
      <c r="Q38" s="37" t="str">
        <f t="shared" si="3"/>
        <v/>
      </c>
      <c r="R38" s="7"/>
    </row>
    <row r="39" spans="1:18" ht="24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</row>
    <row r="40" spans="1:18" ht="24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</row>
    <row r="41" spans="1:18" ht="24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</row>
    <row r="42" spans="1:18" ht="24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</row>
  </sheetData>
  <sheetProtection sheet="1" objects="1" scenarios="1" autoFilter="0"/>
  <mergeCells count="3">
    <mergeCell ref="C2:R2"/>
    <mergeCell ref="C3:R3"/>
    <mergeCell ref="D4:G4"/>
  </mergeCells>
  <pageMargins left="0.7" right="0.7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Y42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30" style="8" customWidth="1"/>
    <col min="5" max="5" width="22" style="8" customWidth="1"/>
    <col min="6" max="7" width="14" style="8" customWidth="1"/>
    <col min="8" max="9" width="18" style="8" customWidth="1"/>
    <col min="10" max="10" width="14" style="8" customWidth="1"/>
    <col min="11" max="22" width="12" style="8" customWidth="1"/>
    <col min="23" max="24" width="14" style="8" customWidth="1"/>
    <col min="25" max="25" width="38" style="8" customWidth="1"/>
    <col min="26" max="16384" width="9" style="8"/>
  </cols>
  <sheetData>
    <row r="1" spans="1:25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</row>
    <row r="2" spans="1:25" ht="24" customHeight="1">
      <c r="A2" s="7"/>
      <c r="B2" s="7"/>
      <c r="C2" s="26" t="s">
        <v>175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ht="24" customHeight="1">
      <c r="A3" s="7"/>
      <c r="B3" s="7"/>
      <c r="C3" s="27" t="s">
        <v>51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ht="24" customHeight="1">
      <c r="A4" s="7"/>
      <c r="B4" s="7"/>
      <c r="C4" s="7" t="s">
        <v>52</v>
      </c>
      <c r="D4" s="28" t="str">
        <f>Parametry!$G$9</f>
        <v>Bazowy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ht="38.1" customHeight="1">
      <c r="A8" s="7"/>
      <c r="B8" s="7"/>
      <c r="C8" s="21" t="s">
        <v>80</v>
      </c>
      <c r="D8" s="21" t="s">
        <v>156</v>
      </c>
      <c r="E8" s="21" t="s">
        <v>35</v>
      </c>
      <c r="F8" s="21" t="s">
        <v>176</v>
      </c>
      <c r="G8" s="21" t="s">
        <v>177</v>
      </c>
      <c r="H8" s="21" t="s">
        <v>178</v>
      </c>
      <c r="I8" s="21" t="s">
        <v>169</v>
      </c>
      <c r="J8" s="7"/>
      <c r="K8" s="31">
        <f>IF(Parametry!$G$6="","",DATE(Parametry!$G$6,1,1))</f>
        <v>46388</v>
      </c>
      <c r="L8" s="31">
        <f>IF(Parametry!$G$6="","",DATE(Parametry!$G$6,2,1))</f>
        <v>46419</v>
      </c>
      <c r="M8" s="31">
        <f>IF(Parametry!$G$6="","",DATE(Parametry!$G$6,3,1))</f>
        <v>46447</v>
      </c>
      <c r="N8" s="31">
        <f>IF(Parametry!$G$6="","",DATE(Parametry!$G$6,4,1))</f>
        <v>46478</v>
      </c>
      <c r="O8" s="31">
        <f>IF(Parametry!$G$6="","",DATE(Parametry!$G$6,5,1))</f>
        <v>46508</v>
      </c>
      <c r="P8" s="31">
        <f>IF(Parametry!$G$6="","",DATE(Parametry!$G$6,6,1))</f>
        <v>46539</v>
      </c>
      <c r="Q8" s="31">
        <f>IF(Parametry!$G$6="","",DATE(Parametry!$G$6,7,1))</f>
        <v>46569</v>
      </c>
      <c r="R8" s="31">
        <f>IF(Parametry!$G$6="","",DATE(Parametry!$G$6,8,1))</f>
        <v>46600</v>
      </c>
      <c r="S8" s="31">
        <f>IF(Parametry!$G$6="","",DATE(Parametry!$G$6,9,1))</f>
        <v>46631</v>
      </c>
      <c r="T8" s="31">
        <f>IF(Parametry!$G$6="","",DATE(Parametry!$G$6,10,1))</f>
        <v>46661</v>
      </c>
      <c r="U8" s="31">
        <f>IF(Parametry!$G$6="","",DATE(Parametry!$G$6,11,1))</f>
        <v>46692</v>
      </c>
      <c r="V8" s="31">
        <f>IF(Parametry!$G$6="","",DATE(Parametry!$G$6,12,1))</f>
        <v>46722</v>
      </c>
      <c r="W8" s="7"/>
      <c r="X8" s="7" t="s">
        <v>85</v>
      </c>
      <c r="Y8" s="7" t="s">
        <v>179</v>
      </c>
    </row>
    <row r="9" spans="1:25" ht="24" customHeight="1">
      <c r="A9" s="7"/>
      <c r="B9" s="7"/>
      <c r="C9" s="3" t="s">
        <v>113</v>
      </c>
      <c r="D9" s="3" t="s">
        <v>114</v>
      </c>
      <c r="E9" s="3" t="s">
        <v>180</v>
      </c>
      <c r="F9" s="3" t="s">
        <v>181</v>
      </c>
      <c r="G9" s="3" t="s">
        <v>182</v>
      </c>
      <c r="H9" s="3" t="s">
        <v>92</v>
      </c>
      <c r="I9" s="22">
        <f t="shared" ref="I9:I38" si="0">IF(C9="","",SUM(K9:V9))</f>
        <v>216000</v>
      </c>
      <c r="J9" s="22"/>
      <c r="K9" s="4">
        <v>18000</v>
      </c>
      <c r="L9" s="4">
        <v>18000</v>
      </c>
      <c r="M9" s="4">
        <v>18000</v>
      </c>
      <c r="N9" s="4">
        <v>18000</v>
      </c>
      <c r="O9" s="4">
        <v>18000</v>
      </c>
      <c r="P9" s="4">
        <v>18000</v>
      </c>
      <c r="Q9" s="4">
        <v>18000</v>
      </c>
      <c r="R9" s="4">
        <v>18000</v>
      </c>
      <c r="S9" s="4">
        <v>18000</v>
      </c>
      <c r="T9" s="4">
        <v>18000</v>
      </c>
      <c r="U9" s="4">
        <v>18000</v>
      </c>
      <c r="V9" s="4">
        <v>18000</v>
      </c>
      <c r="W9" s="7"/>
      <c r="X9" s="13">
        <f>IF(C9="",IF(COUNTA(D9:H9)+COUNT(K9:V9)&gt;0,1,0),IF(OR(COUNTIFS($C$9:$C$38,C9)&lt;&gt;1,D9="",E9="",AND(F9&lt;&gt;"Run",F9&lt;&gt;"Change"),AND(G9&lt;&gt;"OpEx",G9&lt;&gt;"CapEx"),COUNTIFS(Parametry!$C$35:$C$46,H9)&lt;&gt;1,COUNT(K9:V9)&lt;&gt;12),1,0))</f>
        <v>0</v>
      </c>
      <c r="Y9" s="7" t="str">
        <f t="shared" ref="Y9:Y38" si="1">IF(X9=0,"",IF(C9="","Brak ID",IF(COUNTIFS($C$9:$C$38,C9)&lt;&gt;1,"Duplikat ID",IF(COUNT(K9:V9)&lt;&gt;12,"Uzupełnij 12 miesięcy","Sprawdź opis, właściciela i klucz"))))</f>
        <v/>
      </c>
    </row>
    <row r="10" spans="1:25" ht="24" customHeight="1">
      <c r="A10" s="7"/>
      <c r="B10" s="7"/>
      <c r="C10" s="3" t="s">
        <v>116</v>
      </c>
      <c r="D10" s="3" t="s">
        <v>117</v>
      </c>
      <c r="E10" s="3" t="s">
        <v>40</v>
      </c>
      <c r="F10" s="3" t="s">
        <v>181</v>
      </c>
      <c r="G10" s="3" t="s">
        <v>182</v>
      </c>
      <c r="H10" s="3" t="s">
        <v>95</v>
      </c>
      <c r="I10" s="22">
        <f t="shared" si="0"/>
        <v>144000</v>
      </c>
      <c r="J10" s="22"/>
      <c r="K10" s="4">
        <v>144000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7"/>
      <c r="X10" s="13">
        <f>IF(C10="",IF(COUNTA(D10:H10)+COUNT(K10:V10)&gt;0,1,0),IF(OR(COUNTIFS($C$9:$C$38,C10)&lt;&gt;1,D10="",E10="",AND(F10&lt;&gt;"Run",F10&lt;&gt;"Change"),AND(G10&lt;&gt;"OpEx",G10&lt;&gt;"CapEx"),COUNTIFS(Parametry!$C$35:$C$46,H10)&lt;&gt;1,COUNT(K10:V10)&lt;&gt;12),1,0))</f>
        <v>0</v>
      </c>
      <c r="Y10" s="7" t="str">
        <f t="shared" si="1"/>
        <v/>
      </c>
    </row>
    <row r="11" spans="1:25" ht="24" customHeight="1">
      <c r="A11" s="7"/>
      <c r="B11" s="7"/>
      <c r="C11" s="3" t="s">
        <v>119</v>
      </c>
      <c r="D11" s="3" t="s">
        <v>120</v>
      </c>
      <c r="E11" s="3" t="s">
        <v>47</v>
      </c>
      <c r="F11" s="3" t="s">
        <v>181</v>
      </c>
      <c r="G11" s="3" t="s">
        <v>182</v>
      </c>
      <c r="H11" s="3" t="s">
        <v>98</v>
      </c>
      <c r="I11" s="22">
        <f t="shared" si="0"/>
        <v>36000</v>
      </c>
      <c r="J11" s="22"/>
      <c r="K11" s="4">
        <v>3000</v>
      </c>
      <c r="L11" s="4">
        <v>3000</v>
      </c>
      <c r="M11" s="4">
        <v>3000</v>
      </c>
      <c r="N11" s="4">
        <v>3000</v>
      </c>
      <c r="O11" s="4">
        <v>3000</v>
      </c>
      <c r="P11" s="4">
        <v>3000</v>
      </c>
      <c r="Q11" s="4">
        <v>3000</v>
      </c>
      <c r="R11" s="4">
        <v>3000</v>
      </c>
      <c r="S11" s="4">
        <v>3000</v>
      </c>
      <c r="T11" s="4">
        <v>3000</v>
      </c>
      <c r="U11" s="4">
        <v>3000</v>
      </c>
      <c r="V11" s="4">
        <v>3000</v>
      </c>
      <c r="W11" s="7"/>
      <c r="X11" s="13">
        <f>IF(C11="",IF(COUNTA(D11:H11)+COUNT(K11:V11)&gt;0,1,0),IF(OR(COUNTIFS($C$9:$C$38,C11)&lt;&gt;1,D11="",E11="",AND(F11&lt;&gt;"Run",F11&lt;&gt;"Change"),AND(G11&lt;&gt;"OpEx",G11&lt;&gt;"CapEx"),COUNTIFS(Parametry!$C$35:$C$46,H11)&lt;&gt;1,COUNT(K11:V11)&lt;&gt;12),1,0))</f>
        <v>0</v>
      </c>
      <c r="Y11" s="7" t="str">
        <f t="shared" si="1"/>
        <v/>
      </c>
    </row>
    <row r="12" spans="1:25" ht="24" customHeight="1">
      <c r="A12" s="7"/>
      <c r="B12" s="7"/>
      <c r="C12" s="3" t="s">
        <v>122</v>
      </c>
      <c r="D12" s="3" t="s">
        <v>123</v>
      </c>
      <c r="E12" s="3" t="s">
        <v>183</v>
      </c>
      <c r="F12" s="3" t="s">
        <v>181</v>
      </c>
      <c r="G12" s="3" t="s">
        <v>182</v>
      </c>
      <c r="H12" s="3" t="s">
        <v>92</v>
      </c>
      <c r="I12" s="22">
        <f t="shared" si="0"/>
        <v>60000</v>
      </c>
      <c r="J12" s="22"/>
      <c r="K12" s="4">
        <v>5000</v>
      </c>
      <c r="L12" s="4">
        <v>5000</v>
      </c>
      <c r="M12" s="4">
        <v>5000</v>
      </c>
      <c r="N12" s="4">
        <v>5000</v>
      </c>
      <c r="O12" s="4">
        <v>5000</v>
      </c>
      <c r="P12" s="4">
        <v>5000</v>
      </c>
      <c r="Q12" s="4">
        <v>5000</v>
      </c>
      <c r="R12" s="4">
        <v>5000</v>
      </c>
      <c r="S12" s="4">
        <v>5000</v>
      </c>
      <c r="T12" s="4">
        <v>5000</v>
      </c>
      <c r="U12" s="4">
        <v>5000</v>
      </c>
      <c r="V12" s="4">
        <v>5000</v>
      </c>
      <c r="W12" s="7"/>
      <c r="X12" s="13">
        <f>IF(C12="",IF(COUNTA(D12:H12)+COUNT(K12:V12)&gt;0,1,0),IF(OR(COUNTIFS($C$9:$C$38,C12)&lt;&gt;1,D12="",E12="",AND(F12&lt;&gt;"Run",F12&lt;&gt;"Change"),AND(G12&lt;&gt;"OpEx",G12&lt;&gt;"CapEx"),COUNTIFS(Parametry!$C$35:$C$46,H12)&lt;&gt;1,COUNT(K12:V12)&lt;&gt;12),1,0))</f>
        <v>0</v>
      </c>
      <c r="Y12" s="7" t="str">
        <f t="shared" si="1"/>
        <v/>
      </c>
    </row>
    <row r="13" spans="1:25" ht="24" customHeight="1">
      <c r="A13" s="7"/>
      <c r="B13" s="7"/>
      <c r="C13" s="3" t="s">
        <v>125</v>
      </c>
      <c r="D13" s="3" t="s">
        <v>126</v>
      </c>
      <c r="E13" s="3" t="s">
        <v>47</v>
      </c>
      <c r="F13" s="3" t="s">
        <v>181</v>
      </c>
      <c r="G13" s="3" t="s">
        <v>184</v>
      </c>
      <c r="H13" s="3" t="s">
        <v>101</v>
      </c>
      <c r="I13" s="22">
        <f t="shared" si="0"/>
        <v>60000</v>
      </c>
      <c r="J13" s="22"/>
      <c r="K13" s="4">
        <v>0</v>
      </c>
      <c r="L13" s="4">
        <v>0</v>
      </c>
      <c r="M13" s="4">
        <v>60000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7"/>
      <c r="X13" s="13">
        <f>IF(C13="",IF(COUNTA(D13:H13)+COUNT(K13:V13)&gt;0,1,0),IF(OR(COUNTIFS($C$9:$C$38,C13)&lt;&gt;1,D13="",E13="",AND(F13&lt;&gt;"Run",F13&lt;&gt;"Change"),AND(G13&lt;&gt;"OpEx",G13&lt;&gt;"CapEx"),COUNTIFS(Parametry!$C$35:$C$46,H13)&lt;&gt;1,COUNT(K13:V13)&lt;&gt;12),1,0))</f>
        <v>0</v>
      </c>
      <c r="Y13" s="7" t="str">
        <f t="shared" si="1"/>
        <v/>
      </c>
    </row>
    <row r="14" spans="1:25" ht="24" customHeight="1">
      <c r="A14" s="7"/>
      <c r="B14" s="7"/>
      <c r="C14" s="3" t="s">
        <v>128</v>
      </c>
      <c r="D14" s="3" t="s">
        <v>129</v>
      </c>
      <c r="E14" s="3" t="s">
        <v>40</v>
      </c>
      <c r="F14" s="3" t="s">
        <v>185</v>
      </c>
      <c r="G14" s="3" t="s">
        <v>184</v>
      </c>
      <c r="H14" s="3" t="s">
        <v>90</v>
      </c>
      <c r="I14" s="22">
        <f t="shared" si="0"/>
        <v>120000</v>
      </c>
      <c r="J14" s="22"/>
      <c r="K14" s="4">
        <v>0</v>
      </c>
      <c r="L14" s="4">
        <v>0</v>
      </c>
      <c r="M14" s="4">
        <v>0</v>
      </c>
      <c r="N14" s="4">
        <v>40000</v>
      </c>
      <c r="O14" s="4">
        <v>0</v>
      </c>
      <c r="P14" s="4">
        <v>0</v>
      </c>
      <c r="Q14" s="4">
        <v>0</v>
      </c>
      <c r="R14" s="4">
        <v>0</v>
      </c>
      <c r="S14" s="4">
        <v>80000</v>
      </c>
      <c r="T14" s="4">
        <v>0</v>
      </c>
      <c r="U14" s="4">
        <v>0</v>
      </c>
      <c r="V14" s="4">
        <v>0</v>
      </c>
      <c r="W14" s="7"/>
      <c r="X14" s="13">
        <f>IF(C14="",IF(COUNTA(D14:H14)+COUNT(K14:V14)&gt;0,1,0),IF(OR(COUNTIFS($C$9:$C$38,C14)&lt;&gt;1,D14="",E14="",AND(F14&lt;&gt;"Run",F14&lt;&gt;"Change"),AND(G14&lt;&gt;"OpEx",G14&lt;&gt;"CapEx"),COUNTIFS(Parametry!$C$35:$C$46,H14)&lt;&gt;1,COUNT(K14:V14)&lt;&gt;12),1,0))</f>
        <v>0</v>
      </c>
      <c r="Y14" s="7" t="str">
        <f t="shared" si="1"/>
        <v/>
      </c>
    </row>
    <row r="15" spans="1:25" ht="24" customHeight="1">
      <c r="A15" s="7"/>
      <c r="B15" s="7"/>
      <c r="C15" s="3" t="s">
        <v>131</v>
      </c>
      <c r="D15" s="3" t="s">
        <v>132</v>
      </c>
      <c r="E15" s="3" t="s">
        <v>40</v>
      </c>
      <c r="F15" s="3" t="s">
        <v>185</v>
      </c>
      <c r="G15" s="3" t="s">
        <v>184</v>
      </c>
      <c r="H15" s="3" t="s">
        <v>86</v>
      </c>
      <c r="I15" s="22">
        <f t="shared" si="0"/>
        <v>90000</v>
      </c>
      <c r="J15" s="22"/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90000</v>
      </c>
      <c r="V15" s="4">
        <v>0</v>
      </c>
      <c r="W15" s="7"/>
      <c r="X15" s="13">
        <f>IF(C15="",IF(COUNTA(D15:H15)+COUNT(K15:V15)&gt;0,1,0),IF(OR(COUNTIFS($C$9:$C$38,C15)&lt;&gt;1,D15="",E15="",AND(F15&lt;&gt;"Run",F15&lt;&gt;"Change"),AND(G15&lt;&gt;"OpEx",G15&lt;&gt;"CapEx"),COUNTIFS(Parametry!$C$35:$C$46,H15)&lt;&gt;1,COUNT(K15:V15)&lt;&gt;12),1,0))</f>
        <v>0</v>
      </c>
      <c r="Y15" s="7" t="str">
        <f t="shared" si="1"/>
        <v/>
      </c>
    </row>
    <row r="16" spans="1:25" ht="24" customHeight="1">
      <c r="A16" s="7"/>
      <c r="B16" s="7"/>
      <c r="C16" s="3" t="s">
        <v>134</v>
      </c>
      <c r="D16" s="3" t="s">
        <v>135</v>
      </c>
      <c r="E16" s="3" t="s">
        <v>47</v>
      </c>
      <c r="F16" s="3" t="s">
        <v>181</v>
      </c>
      <c r="G16" s="3" t="s">
        <v>182</v>
      </c>
      <c r="H16" s="3" t="s">
        <v>98</v>
      </c>
      <c r="I16" s="22">
        <f t="shared" si="0"/>
        <v>72000</v>
      </c>
      <c r="J16" s="22"/>
      <c r="K16" s="4">
        <v>6000</v>
      </c>
      <c r="L16" s="4">
        <v>6000</v>
      </c>
      <c r="M16" s="4">
        <v>6000</v>
      </c>
      <c r="N16" s="4">
        <v>6000</v>
      </c>
      <c r="O16" s="4">
        <v>6000</v>
      </c>
      <c r="P16" s="4">
        <v>6000</v>
      </c>
      <c r="Q16" s="4">
        <v>6000</v>
      </c>
      <c r="R16" s="4">
        <v>6000</v>
      </c>
      <c r="S16" s="4">
        <v>6000</v>
      </c>
      <c r="T16" s="4">
        <v>6000</v>
      </c>
      <c r="U16" s="4">
        <v>6000</v>
      </c>
      <c r="V16" s="4">
        <v>6000</v>
      </c>
      <c r="W16" s="7"/>
      <c r="X16" s="13">
        <f>IF(C16="",IF(COUNTA(D16:H16)+COUNT(K16:V16)&gt;0,1,0),IF(OR(COUNTIFS($C$9:$C$38,C16)&lt;&gt;1,D16="",E16="",AND(F16&lt;&gt;"Run",F16&lt;&gt;"Change"),AND(G16&lt;&gt;"OpEx",G16&lt;&gt;"CapEx"),COUNTIFS(Parametry!$C$35:$C$46,H16)&lt;&gt;1,COUNT(K16:V16)&lt;&gt;12),1,0))</f>
        <v>0</v>
      </c>
      <c r="Y16" s="7" t="str">
        <f t="shared" si="1"/>
        <v/>
      </c>
    </row>
    <row r="17" spans="1:25" ht="24" customHeight="1">
      <c r="A17" s="7"/>
      <c r="B17" s="7"/>
      <c r="C17" s="3" t="s">
        <v>137</v>
      </c>
      <c r="D17" s="3" t="s">
        <v>138</v>
      </c>
      <c r="E17" s="3" t="s">
        <v>186</v>
      </c>
      <c r="F17" s="3" t="s">
        <v>181</v>
      </c>
      <c r="G17" s="3" t="s">
        <v>182</v>
      </c>
      <c r="H17" s="3" t="s">
        <v>104</v>
      </c>
      <c r="I17" s="22">
        <f t="shared" si="0"/>
        <v>384000</v>
      </c>
      <c r="J17" s="22"/>
      <c r="K17" s="4">
        <v>32000</v>
      </c>
      <c r="L17" s="4">
        <v>32000</v>
      </c>
      <c r="M17" s="4">
        <v>32000</v>
      </c>
      <c r="N17" s="4">
        <v>32000</v>
      </c>
      <c r="O17" s="4">
        <v>32000</v>
      </c>
      <c r="P17" s="4">
        <v>32000</v>
      </c>
      <c r="Q17" s="4">
        <v>32000</v>
      </c>
      <c r="R17" s="4">
        <v>32000</v>
      </c>
      <c r="S17" s="4">
        <v>32000</v>
      </c>
      <c r="T17" s="4">
        <v>32000</v>
      </c>
      <c r="U17" s="4">
        <v>32000</v>
      </c>
      <c r="V17" s="4">
        <v>32000</v>
      </c>
      <c r="W17" s="7"/>
      <c r="X17" s="13">
        <f>IF(C17="",IF(COUNTA(D17:H17)+COUNT(K17:V17)&gt;0,1,0),IF(OR(COUNTIFS($C$9:$C$38,C17)&lt;&gt;1,D17="",E17="",AND(F17&lt;&gt;"Run",F17&lt;&gt;"Change"),AND(G17&lt;&gt;"OpEx",G17&lt;&gt;"CapEx"),COUNTIFS(Parametry!$C$35:$C$46,H17)&lt;&gt;1,COUNT(K17:V17)&lt;&gt;12),1,0))</f>
        <v>0</v>
      </c>
      <c r="Y17" s="7" t="str">
        <f t="shared" si="1"/>
        <v/>
      </c>
    </row>
    <row r="18" spans="1:25" ht="24" customHeight="1">
      <c r="A18" s="7"/>
      <c r="B18" s="7"/>
      <c r="C18" s="3" t="s">
        <v>140</v>
      </c>
      <c r="D18" s="3" t="s">
        <v>141</v>
      </c>
      <c r="E18" s="3" t="s">
        <v>40</v>
      </c>
      <c r="F18" s="3" t="s">
        <v>185</v>
      </c>
      <c r="G18" s="3" t="s">
        <v>182</v>
      </c>
      <c r="H18" s="3" t="s">
        <v>86</v>
      </c>
      <c r="I18" s="22">
        <f t="shared" si="0"/>
        <v>18000</v>
      </c>
      <c r="J18" s="22"/>
      <c r="K18" s="4">
        <v>0</v>
      </c>
      <c r="L18" s="4">
        <v>0</v>
      </c>
      <c r="M18" s="4">
        <v>0</v>
      </c>
      <c r="N18" s="4">
        <v>0</v>
      </c>
      <c r="O18" s="4">
        <v>18000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7"/>
      <c r="X18" s="13">
        <f>IF(C18="",IF(COUNTA(D18:H18)+COUNT(K18:V18)&gt;0,1,0),IF(OR(COUNTIFS($C$9:$C$38,C18)&lt;&gt;1,D18="",E18="",AND(F18&lt;&gt;"Run",F18&lt;&gt;"Change"),AND(G18&lt;&gt;"OpEx",G18&lt;&gt;"CapEx"),COUNTIFS(Parametry!$C$35:$C$46,H18)&lt;&gt;1,COUNT(K18:V18)&lt;&gt;12),1,0))</f>
        <v>0</v>
      </c>
      <c r="Y18" s="7" t="str">
        <f t="shared" si="1"/>
        <v/>
      </c>
    </row>
    <row r="19" spans="1:25" ht="24" customHeight="1">
      <c r="A19" s="7"/>
      <c r="B19" s="7"/>
      <c r="C19" s="3" t="s">
        <v>143</v>
      </c>
      <c r="D19" s="3" t="s">
        <v>144</v>
      </c>
      <c r="E19" s="3" t="s">
        <v>186</v>
      </c>
      <c r="F19" s="3" t="s">
        <v>181</v>
      </c>
      <c r="G19" s="3" t="s">
        <v>182</v>
      </c>
      <c r="H19" s="3" t="s">
        <v>92</v>
      </c>
      <c r="I19" s="22">
        <f t="shared" si="0"/>
        <v>12000</v>
      </c>
      <c r="J19" s="22"/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12000</v>
      </c>
      <c r="U19" s="4">
        <v>0</v>
      </c>
      <c r="V19" s="4">
        <v>0</v>
      </c>
      <c r="W19" s="7"/>
      <c r="X19" s="13">
        <f>IF(C19="",IF(COUNTA(D19:H19)+COUNT(K19:V19)&gt;0,1,0),IF(OR(COUNTIFS($C$9:$C$38,C19)&lt;&gt;1,D19="",E19="",AND(F19&lt;&gt;"Run",F19&lt;&gt;"Change"),AND(G19&lt;&gt;"OpEx",G19&lt;&gt;"CapEx"),COUNTIFS(Parametry!$C$35:$C$46,H19)&lt;&gt;1,COUNT(K19:V19)&lt;&gt;12),1,0))</f>
        <v>0</v>
      </c>
      <c r="Y19" s="7" t="str">
        <f t="shared" si="1"/>
        <v/>
      </c>
    </row>
    <row r="20" spans="1:25" ht="24" customHeight="1">
      <c r="A20" s="7"/>
      <c r="B20" s="7"/>
      <c r="C20" s="3" t="s">
        <v>146</v>
      </c>
      <c r="D20" s="3" t="s">
        <v>147</v>
      </c>
      <c r="E20" s="3" t="s">
        <v>186</v>
      </c>
      <c r="F20" s="3" t="s">
        <v>181</v>
      </c>
      <c r="G20" s="3" t="s">
        <v>182</v>
      </c>
      <c r="H20" s="3" t="s">
        <v>101</v>
      </c>
      <c r="I20" s="22">
        <f t="shared" si="0"/>
        <v>20000</v>
      </c>
      <c r="J20" s="22"/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20000</v>
      </c>
      <c r="W20" s="7"/>
      <c r="X20" s="13">
        <f>IF(C20="",IF(COUNTA(D20:H20)+COUNT(K20:V20)&gt;0,1,0),IF(OR(COUNTIFS($C$9:$C$38,C20)&lt;&gt;1,D20="",E20="",AND(F20&lt;&gt;"Run",F20&lt;&gt;"Change"),AND(G20&lt;&gt;"OpEx",G20&lt;&gt;"CapEx"),COUNTIFS(Parametry!$C$35:$C$46,H20)&lt;&gt;1,COUNT(K20:V20)&lt;&gt;12),1,0))</f>
        <v>0</v>
      </c>
      <c r="Y20" s="7" t="str">
        <f t="shared" si="1"/>
        <v/>
      </c>
    </row>
    <row r="21" spans="1:25" ht="24" customHeight="1">
      <c r="A21" s="7"/>
      <c r="B21" s="7"/>
      <c r="C21" s="3" t="s">
        <v>149</v>
      </c>
      <c r="D21" s="3" t="s">
        <v>150</v>
      </c>
      <c r="E21" s="3" t="s">
        <v>40</v>
      </c>
      <c r="F21" s="3" t="s">
        <v>185</v>
      </c>
      <c r="G21" s="3" t="s">
        <v>182</v>
      </c>
      <c r="H21" s="3" t="s">
        <v>86</v>
      </c>
      <c r="I21" s="22">
        <f t="shared" si="0"/>
        <v>0</v>
      </c>
      <c r="J21" s="22"/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7"/>
      <c r="X21" s="13">
        <f>IF(C21="",IF(COUNTA(D21:H21)+COUNT(K21:V21)&gt;0,1,0),IF(OR(COUNTIFS($C$9:$C$38,C21)&lt;&gt;1,D21="",E21="",AND(F21&lt;&gt;"Run",F21&lt;&gt;"Change"),AND(G21&lt;&gt;"OpEx",G21&lt;&gt;"CapEx"),COUNTIFS(Parametry!$C$35:$C$46,H21)&lt;&gt;1,COUNT(K21:V21)&lt;&gt;12),1,0))</f>
        <v>0</v>
      </c>
      <c r="Y21" s="7" t="str">
        <f t="shared" si="1"/>
        <v/>
      </c>
    </row>
    <row r="22" spans="1:25" ht="24" customHeight="1">
      <c r="A22" s="7"/>
      <c r="B22" s="7"/>
      <c r="C22" s="3"/>
      <c r="D22" s="3"/>
      <c r="E22" s="3"/>
      <c r="F22" s="3"/>
      <c r="G22" s="3"/>
      <c r="H22" s="3"/>
      <c r="I22" s="22" t="str">
        <f t="shared" si="0"/>
        <v/>
      </c>
      <c r="J22" s="22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7"/>
      <c r="X22" s="13">
        <f>IF(C22="",IF(COUNTA(D22:H22)+COUNT(K22:V22)&gt;0,1,0),IF(OR(COUNTIFS($C$9:$C$38,C22)&lt;&gt;1,D22="",E22="",AND(F22&lt;&gt;"Run",F22&lt;&gt;"Change"),AND(G22&lt;&gt;"OpEx",G22&lt;&gt;"CapEx"),COUNTIFS(Parametry!$C$35:$C$46,H22)&lt;&gt;1,COUNT(K22:V22)&lt;&gt;12),1,0))</f>
        <v>0</v>
      </c>
      <c r="Y22" s="7" t="str">
        <f t="shared" si="1"/>
        <v/>
      </c>
    </row>
    <row r="23" spans="1:25" ht="24" customHeight="1">
      <c r="A23" s="7"/>
      <c r="B23" s="7"/>
      <c r="C23" s="3"/>
      <c r="D23" s="3"/>
      <c r="E23" s="3"/>
      <c r="F23" s="3"/>
      <c r="G23" s="3"/>
      <c r="H23" s="3"/>
      <c r="I23" s="22" t="str">
        <f t="shared" si="0"/>
        <v/>
      </c>
      <c r="J23" s="22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7"/>
      <c r="X23" s="13">
        <f>IF(C23="",IF(COUNTA(D23:H23)+COUNT(K23:V23)&gt;0,1,0),IF(OR(COUNTIFS($C$9:$C$38,C23)&lt;&gt;1,D23="",E23="",AND(F23&lt;&gt;"Run",F23&lt;&gt;"Change"),AND(G23&lt;&gt;"OpEx",G23&lt;&gt;"CapEx"),COUNTIFS(Parametry!$C$35:$C$46,H23)&lt;&gt;1,COUNT(K23:V23)&lt;&gt;12),1,0))</f>
        <v>0</v>
      </c>
      <c r="Y23" s="7" t="str">
        <f t="shared" si="1"/>
        <v/>
      </c>
    </row>
    <row r="24" spans="1:25" ht="24" customHeight="1">
      <c r="A24" s="7"/>
      <c r="B24" s="7"/>
      <c r="C24" s="3"/>
      <c r="D24" s="3"/>
      <c r="E24" s="3"/>
      <c r="F24" s="3"/>
      <c r="G24" s="3"/>
      <c r="H24" s="3"/>
      <c r="I24" s="22" t="str">
        <f t="shared" si="0"/>
        <v/>
      </c>
      <c r="J24" s="22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7"/>
      <c r="X24" s="13">
        <f>IF(C24="",IF(COUNTA(D24:H24)+COUNT(K24:V24)&gt;0,1,0),IF(OR(COUNTIFS($C$9:$C$38,C24)&lt;&gt;1,D24="",E24="",AND(F24&lt;&gt;"Run",F24&lt;&gt;"Change"),AND(G24&lt;&gt;"OpEx",G24&lt;&gt;"CapEx"),COUNTIFS(Parametry!$C$35:$C$46,H24)&lt;&gt;1,COUNT(K24:V24)&lt;&gt;12),1,0))</f>
        <v>0</v>
      </c>
      <c r="Y24" s="7" t="str">
        <f t="shared" si="1"/>
        <v/>
      </c>
    </row>
    <row r="25" spans="1:25" ht="24" customHeight="1">
      <c r="A25" s="7"/>
      <c r="B25" s="7"/>
      <c r="C25" s="3"/>
      <c r="D25" s="3"/>
      <c r="E25" s="3"/>
      <c r="F25" s="3"/>
      <c r="G25" s="3"/>
      <c r="H25" s="3"/>
      <c r="I25" s="22" t="str">
        <f t="shared" si="0"/>
        <v/>
      </c>
      <c r="J25" s="22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7"/>
      <c r="X25" s="13">
        <f>IF(C25="",IF(COUNTA(D25:H25)+COUNT(K25:V25)&gt;0,1,0),IF(OR(COUNTIFS($C$9:$C$38,C25)&lt;&gt;1,D25="",E25="",AND(F25&lt;&gt;"Run",F25&lt;&gt;"Change"),AND(G25&lt;&gt;"OpEx",G25&lt;&gt;"CapEx"),COUNTIFS(Parametry!$C$35:$C$46,H25)&lt;&gt;1,COUNT(K25:V25)&lt;&gt;12),1,0))</f>
        <v>0</v>
      </c>
      <c r="Y25" s="7" t="str">
        <f t="shared" si="1"/>
        <v/>
      </c>
    </row>
    <row r="26" spans="1:25" ht="24" customHeight="1">
      <c r="A26" s="7"/>
      <c r="B26" s="7"/>
      <c r="C26" s="3"/>
      <c r="D26" s="3"/>
      <c r="E26" s="3"/>
      <c r="F26" s="3"/>
      <c r="G26" s="3"/>
      <c r="H26" s="3"/>
      <c r="I26" s="22" t="str">
        <f t="shared" si="0"/>
        <v/>
      </c>
      <c r="J26" s="22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7"/>
      <c r="X26" s="13">
        <f>IF(C26="",IF(COUNTA(D26:H26)+COUNT(K26:V26)&gt;0,1,0),IF(OR(COUNTIFS($C$9:$C$38,C26)&lt;&gt;1,D26="",E26="",AND(F26&lt;&gt;"Run",F26&lt;&gt;"Change"),AND(G26&lt;&gt;"OpEx",G26&lt;&gt;"CapEx"),COUNTIFS(Parametry!$C$35:$C$46,H26)&lt;&gt;1,COUNT(K26:V26)&lt;&gt;12),1,0))</f>
        <v>0</v>
      </c>
      <c r="Y26" s="7" t="str">
        <f t="shared" si="1"/>
        <v/>
      </c>
    </row>
    <row r="27" spans="1:25" ht="24" customHeight="1">
      <c r="A27" s="7"/>
      <c r="B27" s="7"/>
      <c r="C27" s="3"/>
      <c r="D27" s="3"/>
      <c r="E27" s="3"/>
      <c r="F27" s="3"/>
      <c r="G27" s="3"/>
      <c r="H27" s="3"/>
      <c r="I27" s="22" t="str">
        <f t="shared" si="0"/>
        <v/>
      </c>
      <c r="J27" s="22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7"/>
      <c r="X27" s="13">
        <f>IF(C27="",IF(COUNTA(D27:H27)+COUNT(K27:V27)&gt;0,1,0),IF(OR(COUNTIFS($C$9:$C$38,C27)&lt;&gt;1,D27="",E27="",AND(F27&lt;&gt;"Run",F27&lt;&gt;"Change"),AND(G27&lt;&gt;"OpEx",G27&lt;&gt;"CapEx"),COUNTIFS(Parametry!$C$35:$C$46,H27)&lt;&gt;1,COUNT(K27:V27)&lt;&gt;12),1,0))</f>
        <v>0</v>
      </c>
      <c r="Y27" s="7" t="str">
        <f t="shared" si="1"/>
        <v/>
      </c>
    </row>
    <row r="28" spans="1:25" ht="24" customHeight="1">
      <c r="A28" s="7"/>
      <c r="B28" s="7"/>
      <c r="C28" s="3"/>
      <c r="D28" s="3"/>
      <c r="E28" s="3"/>
      <c r="F28" s="3"/>
      <c r="G28" s="3"/>
      <c r="H28" s="3"/>
      <c r="I28" s="22" t="str">
        <f t="shared" si="0"/>
        <v/>
      </c>
      <c r="J28" s="22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7"/>
      <c r="X28" s="13">
        <f>IF(C28="",IF(COUNTA(D28:H28)+COUNT(K28:V28)&gt;0,1,0),IF(OR(COUNTIFS($C$9:$C$38,C28)&lt;&gt;1,D28="",E28="",AND(F28&lt;&gt;"Run",F28&lt;&gt;"Change"),AND(G28&lt;&gt;"OpEx",G28&lt;&gt;"CapEx"),COUNTIFS(Parametry!$C$35:$C$46,H28)&lt;&gt;1,COUNT(K28:V28)&lt;&gt;12),1,0))</f>
        <v>0</v>
      </c>
      <c r="Y28" s="7" t="str">
        <f t="shared" si="1"/>
        <v/>
      </c>
    </row>
    <row r="29" spans="1:25" ht="24" customHeight="1">
      <c r="A29" s="7"/>
      <c r="B29" s="7"/>
      <c r="C29" s="3"/>
      <c r="D29" s="3"/>
      <c r="E29" s="3"/>
      <c r="F29" s="3"/>
      <c r="G29" s="3"/>
      <c r="H29" s="3"/>
      <c r="I29" s="22" t="str">
        <f t="shared" si="0"/>
        <v/>
      </c>
      <c r="J29" s="22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7"/>
      <c r="X29" s="13">
        <f>IF(C29="",IF(COUNTA(D29:H29)+COUNT(K29:V29)&gt;0,1,0),IF(OR(COUNTIFS($C$9:$C$38,C29)&lt;&gt;1,D29="",E29="",AND(F29&lt;&gt;"Run",F29&lt;&gt;"Change"),AND(G29&lt;&gt;"OpEx",G29&lt;&gt;"CapEx"),COUNTIFS(Parametry!$C$35:$C$46,H29)&lt;&gt;1,COUNT(K29:V29)&lt;&gt;12),1,0))</f>
        <v>0</v>
      </c>
      <c r="Y29" s="7" t="str">
        <f t="shared" si="1"/>
        <v/>
      </c>
    </row>
    <row r="30" spans="1:25" ht="24" customHeight="1">
      <c r="A30" s="7"/>
      <c r="B30" s="7"/>
      <c r="C30" s="3"/>
      <c r="D30" s="3"/>
      <c r="E30" s="3"/>
      <c r="F30" s="3"/>
      <c r="G30" s="3"/>
      <c r="H30" s="3"/>
      <c r="I30" s="22" t="str">
        <f t="shared" si="0"/>
        <v/>
      </c>
      <c r="J30" s="22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7"/>
      <c r="X30" s="13">
        <f>IF(C30="",IF(COUNTA(D30:H30)+COUNT(K30:V30)&gt;0,1,0),IF(OR(COUNTIFS($C$9:$C$38,C30)&lt;&gt;1,D30="",E30="",AND(F30&lt;&gt;"Run",F30&lt;&gt;"Change"),AND(G30&lt;&gt;"OpEx",G30&lt;&gt;"CapEx"),COUNTIFS(Parametry!$C$35:$C$46,H30)&lt;&gt;1,COUNT(K30:V30)&lt;&gt;12),1,0))</f>
        <v>0</v>
      </c>
      <c r="Y30" s="7" t="str">
        <f t="shared" si="1"/>
        <v/>
      </c>
    </row>
    <row r="31" spans="1:25" ht="24" customHeight="1">
      <c r="A31" s="7"/>
      <c r="B31" s="7"/>
      <c r="C31" s="3"/>
      <c r="D31" s="3"/>
      <c r="E31" s="3"/>
      <c r="F31" s="3"/>
      <c r="G31" s="3"/>
      <c r="H31" s="3"/>
      <c r="I31" s="22" t="str">
        <f t="shared" si="0"/>
        <v/>
      </c>
      <c r="J31" s="22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7"/>
      <c r="X31" s="13">
        <f>IF(C31="",IF(COUNTA(D31:H31)+COUNT(K31:V31)&gt;0,1,0),IF(OR(COUNTIFS($C$9:$C$38,C31)&lt;&gt;1,D31="",E31="",AND(F31&lt;&gt;"Run",F31&lt;&gt;"Change"),AND(G31&lt;&gt;"OpEx",G31&lt;&gt;"CapEx"),COUNTIFS(Parametry!$C$35:$C$46,H31)&lt;&gt;1,COUNT(K31:V31)&lt;&gt;12),1,0))</f>
        <v>0</v>
      </c>
      <c r="Y31" s="7" t="str">
        <f t="shared" si="1"/>
        <v/>
      </c>
    </row>
    <row r="32" spans="1:25" ht="24" customHeight="1">
      <c r="A32" s="7"/>
      <c r="B32" s="7"/>
      <c r="C32" s="3"/>
      <c r="D32" s="3"/>
      <c r="E32" s="3"/>
      <c r="F32" s="3"/>
      <c r="G32" s="3"/>
      <c r="H32" s="3"/>
      <c r="I32" s="22" t="str">
        <f t="shared" si="0"/>
        <v/>
      </c>
      <c r="J32" s="22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7"/>
      <c r="X32" s="13">
        <f>IF(C32="",IF(COUNTA(D32:H32)+COUNT(K32:V32)&gt;0,1,0),IF(OR(COUNTIFS($C$9:$C$38,C32)&lt;&gt;1,D32="",E32="",AND(F32&lt;&gt;"Run",F32&lt;&gt;"Change"),AND(G32&lt;&gt;"OpEx",G32&lt;&gt;"CapEx"),COUNTIFS(Parametry!$C$35:$C$46,H32)&lt;&gt;1,COUNT(K32:V32)&lt;&gt;12),1,0))</f>
        <v>0</v>
      </c>
      <c r="Y32" s="7" t="str">
        <f t="shared" si="1"/>
        <v/>
      </c>
    </row>
    <row r="33" spans="1:25" ht="24" customHeight="1">
      <c r="A33" s="7"/>
      <c r="B33" s="7"/>
      <c r="C33" s="3"/>
      <c r="D33" s="3"/>
      <c r="E33" s="3"/>
      <c r="F33" s="3"/>
      <c r="G33" s="3"/>
      <c r="H33" s="3"/>
      <c r="I33" s="22" t="str">
        <f t="shared" si="0"/>
        <v/>
      </c>
      <c r="J33" s="22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7"/>
      <c r="X33" s="13">
        <f>IF(C33="",IF(COUNTA(D33:H33)+COUNT(K33:V33)&gt;0,1,0),IF(OR(COUNTIFS($C$9:$C$38,C33)&lt;&gt;1,D33="",E33="",AND(F33&lt;&gt;"Run",F33&lt;&gt;"Change"),AND(G33&lt;&gt;"OpEx",G33&lt;&gt;"CapEx"),COUNTIFS(Parametry!$C$35:$C$46,H33)&lt;&gt;1,COUNT(K33:V33)&lt;&gt;12),1,0))</f>
        <v>0</v>
      </c>
      <c r="Y33" s="7" t="str">
        <f t="shared" si="1"/>
        <v/>
      </c>
    </row>
    <row r="34" spans="1:25" ht="24" customHeight="1">
      <c r="A34" s="7"/>
      <c r="B34" s="7"/>
      <c r="C34" s="3"/>
      <c r="D34" s="3"/>
      <c r="E34" s="3"/>
      <c r="F34" s="3"/>
      <c r="G34" s="3"/>
      <c r="H34" s="3"/>
      <c r="I34" s="22" t="str">
        <f t="shared" si="0"/>
        <v/>
      </c>
      <c r="J34" s="22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7"/>
      <c r="X34" s="13">
        <f>IF(C34="",IF(COUNTA(D34:H34)+COUNT(K34:V34)&gt;0,1,0),IF(OR(COUNTIFS($C$9:$C$38,C34)&lt;&gt;1,D34="",E34="",AND(F34&lt;&gt;"Run",F34&lt;&gt;"Change"),AND(G34&lt;&gt;"OpEx",G34&lt;&gt;"CapEx"),COUNTIFS(Parametry!$C$35:$C$46,H34)&lt;&gt;1,COUNT(K34:V34)&lt;&gt;12),1,0))</f>
        <v>0</v>
      </c>
      <c r="Y34" s="7" t="str">
        <f t="shared" si="1"/>
        <v/>
      </c>
    </row>
    <row r="35" spans="1:25" ht="24" customHeight="1">
      <c r="A35" s="7"/>
      <c r="B35" s="7"/>
      <c r="C35" s="3"/>
      <c r="D35" s="3"/>
      <c r="E35" s="3"/>
      <c r="F35" s="3"/>
      <c r="G35" s="3"/>
      <c r="H35" s="3"/>
      <c r="I35" s="22" t="str">
        <f t="shared" si="0"/>
        <v/>
      </c>
      <c r="J35" s="22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7"/>
      <c r="X35" s="13">
        <f>IF(C35="",IF(COUNTA(D35:H35)+COUNT(K35:V35)&gt;0,1,0),IF(OR(COUNTIFS($C$9:$C$38,C35)&lt;&gt;1,D35="",E35="",AND(F35&lt;&gt;"Run",F35&lt;&gt;"Change"),AND(G35&lt;&gt;"OpEx",G35&lt;&gt;"CapEx"),COUNTIFS(Parametry!$C$35:$C$46,H35)&lt;&gt;1,COUNT(K35:V35)&lt;&gt;12),1,0))</f>
        <v>0</v>
      </c>
      <c r="Y35" s="7" t="str">
        <f t="shared" si="1"/>
        <v/>
      </c>
    </row>
    <row r="36" spans="1:25" ht="24" customHeight="1">
      <c r="A36" s="7"/>
      <c r="B36" s="7"/>
      <c r="C36" s="3"/>
      <c r="D36" s="3"/>
      <c r="E36" s="3"/>
      <c r="F36" s="3"/>
      <c r="G36" s="3"/>
      <c r="H36" s="3"/>
      <c r="I36" s="22" t="str">
        <f t="shared" si="0"/>
        <v/>
      </c>
      <c r="J36" s="22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7"/>
      <c r="X36" s="13">
        <f>IF(C36="",IF(COUNTA(D36:H36)+COUNT(K36:V36)&gt;0,1,0),IF(OR(COUNTIFS($C$9:$C$38,C36)&lt;&gt;1,D36="",E36="",AND(F36&lt;&gt;"Run",F36&lt;&gt;"Change"),AND(G36&lt;&gt;"OpEx",G36&lt;&gt;"CapEx"),COUNTIFS(Parametry!$C$35:$C$46,H36)&lt;&gt;1,COUNT(K36:V36)&lt;&gt;12),1,0))</f>
        <v>0</v>
      </c>
      <c r="Y36" s="7" t="str">
        <f t="shared" si="1"/>
        <v/>
      </c>
    </row>
    <row r="37" spans="1:25" ht="24" customHeight="1">
      <c r="A37" s="7"/>
      <c r="B37" s="7"/>
      <c r="C37" s="3"/>
      <c r="D37" s="3"/>
      <c r="E37" s="3"/>
      <c r="F37" s="3"/>
      <c r="G37" s="3"/>
      <c r="H37" s="3"/>
      <c r="I37" s="22" t="str">
        <f t="shared" si="0"/>
        <v/>
      </c>
      <c r="J37" s="22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7"/>
      <c r="X37" s="13">
        <f>IF(C37="",IF(COUNTA(D37:H37)+COUNT(K37:V37)&gt;0,1,0),IF(OR(COUNTIFS($C$9:$C$38,C37)&lt;&gt;1,D37="",E37="",AND(F37&lt;&gt;"Run",F37&lt;&gt;"Change"),AND(G37&lt;&gt;"OpEx",G37&lt;&gt;"CapEx"),COUNTIFS(Parametry!$C$35:$C$46,H37)&lt;&gt;1,COUNT(K37:V37)&lt;&gt;12),1,0))</f>
        <v>0</v>
      </c>
      <c r="Y37" s="7" t="str">
        <f t="shared" si="1"/>
        <v/>
      </c>
    </row>
    <row r="38" spans="1:25" ht="24" customHeight="1">
      <c r="A38" s="7"/>
      <c r="B38" s="7"/>
      <c r="C38" s="3"/>
      <c r="D38" s="3"/>
      <c r="E38" s="3"/>
      <c r="F38" s="3"/>
      <c r="G38" s="3"/>
      <c r="H38" s="3"/>
      <c r="I38" s="22" t="str">
        <f t="shared" si="0"/>
        <v/>
      </c>
      <c r="J38" s="22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7"/>
      <c r="X38" s="13">
        <f>IF(C38="",IF(COUNTA(D38:H38)+COUNT(K38:V38)&gt;0,1,0),IF(OR(COUNTIFS($C$9:$C$38,C38)&lt;&gt;1,D38="",E38="",AND(F38&lt;&gt;"Run",F38&lt;&gt;"Change"),AND(G38&lt;&gt;"OpEx",G38&lt;&gt;"CapEx"),COUNTIFS(Parametry!$C$35:$C$46,H38)&lt;&gt;1,COUNT(K38:V38)&lt;&gt;12),1,0))</f>
        <v>0</v>
      </c>
      <c r="Y38" s="7" t="str">
        <f t="shared" si="1"/>
        <v/>
      </c>
    </row>
    <row r="39" spans="1:25" ht="24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 spans="1:25" ht="24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 spans="1:25" ht="24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 spans="1:25" ht="24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</sheetData>
  <sheetProtection sheet="1" objects="1" scenarios="1" autoFilter="0"/>
  <mergeCells count="3">
    <mergeCell ref="C2:Y2"/>
    <mergeCell ref="C3:Y3"/>
    <mergeCell ref="D4:G4"/>
  </mergeCells>
  <conditionalFormatting sqref="X9:X38">
    <cfRule type="cellIs" dxfId="15" priority="1" operator="greaterThan">
      <formula>0</formula>
    </cfRule>
  </conditionalFormatting>
  <dataValidations count="2">
    <dataValidation type="list" sqref="F9:F38" xr:uid="{00000000-0002-0000-0400-000000000000}">
      <formula1>"Run,Change"</formula1>
    </dataValidation>
    <dataValidation type="list" sqref="G9:G38" xr:uid="{00000000-0002-0000-0400-000001000000}">
      <formula1>"OpEx,CapEx"</formula1>
    </dataValidation>
  </dataValidations>
  <pageMargins left="0.7" right="0.7" top="0.75" bottom="0.75" header="0.3" footer="0.3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112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30" style="8" customWidth="1"/>
    <col min="5" max="6" width="24" style="8" customWidth="1"/>
    <col min="7" max="11" width="17" style="8" customWidth="1"/>
    <col min="12" max="12" width="20" style="8" customWidth="1"/>
    <col min="13" max="14" width="18" style="8" customWidth="1"/>
    <col min="15" max="16" width="14" style="8" customWidth="1"/>
    <col min="17" max="18" width="40" style="8" customWidth="1"/>
    <col min="19" max="19" width="14" style="8" customWidth="1"/>
    <col min="20" max="16384" width="9" style="8"/>
  </cols>
  <sheetData>
    <row r="1" spans="1:19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ht="24" customHeight="1">
      <c r="A2" s="7"/>
      <c r="B2" s="7"/>
      <c r="C2" s="26" t="s">
        <v>187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24" customHeight="1">
      <c r="A3" s="7"/>
      <c r="B3" s="7"/>
      <c r="C3" s="27" t="s">
        <v>51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19" ht="24" customHeight="1">
      <c r="A4" s="7"/>
      <c r="B4" s="7"/>
      <c r="C4" s="7" t="s">
        <v>52</v>
      </c>
      <c r="D4" s="28" t="str">
        <f>Parametry!$G$9</f>
        <v>Bazowy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1:19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38.1" customHeight="1">
      <c r="A8" s="7"/>
      <c r="B8" s="7"/>
      <c r="C8" s="21" t="s">
        <v>80</v>
      </c>
      <c r="D8" s="21" t="s">
        <v>109</v>
      </c>
      <c r="E8" s="21" t="s">
        <v>188</v>
      </c>
      <c r="F8" s="21" t="s">
        <v>189</v>
      </c>
      <c r="G8" s="21" t="s">
        <v>190</v>
      </c>
      <c r="H8" s="21" t="s">
        <v>191</v>
      </c>
      <c r="I8" s="21" t="s">
        <v>192</v>
      </c>
      <c r="J8" s="21" t="s">
        <v>193</v>
      </c>
      <c r="K8" s="21" t="s">
        <v>194</v>
      </c>
      <c r="L8" s="21" t="s">
        <v>35</v>
      </c>
      <c r="M8" s="21" t="s">
        <v>195</v>
      </c>
      <c r="N8" s="21" t="s">
        <v>196</v>
      </c>
      <c r="O8" s="21" t="s">
        <v>197</v>
      </c>
      <c r="P8" s="21" t="s">
        <v>85</v>
      </c>
      <c r="Q8" s="21" t="s">
        <v>179</v>
      </c>
      <c r="R8" s="21" t="s">
        <v>198</v>
      </c>
      <c r="S8" s="21" t="s">
        <v>199</v>
      </c>
    </row>
    <row r="9" spans="1:19" ht="24" customHeight="1">
      <c r="A9" s="7"/>
      <c r="B9" s="7"/>
      <c r="C9" s="3" t="s">
        <v>200</v>
      </c>
      <c r="D9" s="3" t="s">
        <v>113</v>
      </c>
      <c r="E9" s="3" t="s">
        <v>201</v>
      </c>
      <c r="F9" s="3" t="s">
        <v>202</v>
      </c>
      <c r="G9" s="2">
        <v>46583</v>
      </c>
      <c r="H9" s="6">
        <v>18000</v>
      </c>
      <c r="I9" s="6">
        <v>0</v>
      </c>
      <c r="J9" s="2"/>
      <c r="K9" s="2"/>
      <c r="L9" s="3" t="s">
        <v>66</v>
      </c>
      <c r="M9" s="36">
        <f>IF(C9="","",SUMIFS(ERP!$I$9:$I$1008,ERP!$F$9:$F$1008,C9,ERP!$N$9:$N$1008,1))</f>
        <v>0</v>
      </c>
      <c r="N9" s="37">
        <f t="shared" ref="N9:N40" si="0">IF(C9="","",MAX(0,SUM(H9:I9)-M9))</f>
        <v>18000</v>
      </c>
      <c r="O9" s="13">
        <f>IF(OR(C9="",NOT(ISNUMBER(Parametry!$G$10)),NOT(ISNUMBER(G9))),0,IF(OR(N9=0,YEAR(G9)&gt;Parametry!$G$6),0,IF(G9&lt;=Parametry!$G$10,Parametry!$G$7+1,MONTH(G9))))</f>
        <v>7</v>
      </c>
      <c r="P9" s="13">
        <f>IF(C9="",IF(COUNTA(D9:L9)&gt;0,1,0),IF(OR(COUNTIFS($C$9:$C$108,C9)&lt;&gt;1,COUNTIFS(Plan!$C$9:$C$38,D9)&lt;&gt;1,NOT(ISNUMBER(G9)),NOT(ISNUMBER(H9)),AND(I9&lt;&gt;"",NOT(ISNUMBER(I9))),SUM(H9:I9)&lt;0,L9=""),1,0))</f>
        <v>0</v>
      </c>
      <c r="Q9" s="7" t="str">
        <f t="shared" ref="Q9:Q40" si="1">IF(P9=0,"","Sprawdź ID, przypisanie, datę i kwotę")</f>
        <v/>
      </c>
      <c r="R9" s="13" t="str">
        <f>IF(C9="","",IF(J9="","",IF(K9="","Brak terminu decyzji",IF(AND(ISNUMBER(Parametry!$G$10),K9&lt;=Parametry!$G$10+Parametry!$G$11),"Sprawdź odnowienie",""))))</f>
        <v/>
      </c>
      <c r="S9" s="7">
        <f t="shared" ref="S9:S40" si="2">IF(C9="","",MAX(0,M9-SUM(H9:I9)))</f>
        <v>0</v>
      </c>
    </row>
    <row r="10" spans="1:19" ht="24" customHeight="1">
      <c r="A10" s="7"/>
      <c r="B10" s="7"/>
      <c r="C10" s="3" t="s">
        <v>203</v>
      </c>
      <c r="D10" s="3" t="s">
        <v>119</v>
      </c>
      <c r="E10" s="3" t="s">
        <v>204</v>
      </c>
      <c r="F10" s="3" t="s">
        <v>202</v>
      </c>
      <c r="G10" s="2">
        <v>46583</v>
      </c>
      <c r="H10" s="6">
        <v>3000</v>
      </c>
      <c r="I10" s="6">
        <v>0</v>
      </c>
      <c r="J10" s="2"/>
      <c r="K10" s="2"/>
      <c r="L10" s="3" t="s">
        <v>66</v>
      </c>
      <c r="M10" s="36">
        <f>IF(C10="","",SUMIFS(ERP!$I$9:$I$1008,ERP!$F$9:$F$1008,C10,ERP!$N$9:$N$1008,1))</f>
        <v>0</v>
      </c>
      <c r="N10" s="37">
        <f t="shared" si="0"/>
        <v>3000</v>
      </c>
      <c r="O10" s="13">
        <f>IF(OR(C10="",NOT(ISNUMBER(Parametry!$G$10)),NOT(ISNUMBER(G10))),0,IF(OR(N10=0,YEAR(G10)&gt;Parametry!$G$6),0,IF(G10&lt;=Parametry!$G$10,Parametry!$G$7+1,MONTH(G10))))</f>
        <v>7</v>
      </c>
      <c r="P10" s="13">
        <f>IF(C10="",IF(COUNTA(D10:L10)&gt;0,1,0),IF(OR(COUNTIFS($C$9:$C$108,C10)&lt;&gt;1,COUNTIFS(Plan!$C$9:$C$38,D10)&lt;&gt;1,NOT(ISNUMBER(G10)),NOT(ISNUMBER(H10)),AND(I10&lt;&gt;"",NOT(ISNUMBER(I10))),SUM(H10:I10)&lt;0,L10=""),1,0))</f>
        <v>0</v>
      </c>
      <c r="Q10" s="7" t="str">
        <f t="shared" si="1"/>
        <v/>
      </c>
      <c r="R10" s="13" t="str">
        <f>IF(C10="","",IF(J10="","",IF(K10="","Brak terminu decyzji",IF(AND(ISNUMBER(Parametry!$G$10),K10&lt;=Parametry!$G$10+Parametry!$G$11),"Sprawdź odnowienie",""))))</f>
        <v/>
      </c>
      <c r="S10" s="7">
        <f t="shared" si="2"/>
        <v>0</v>
      </c>
    </row>
    <row r="11" spans="1:19" ht="24" customHeight="1">
      <c r="A11" s="7"/>
      <c r="B11" s="7"/>
      <c r="C11" s="3" t="s">
        <v>205</v>
      </c>
      <c r="D11" s="3" t="s">
        <v>122</v>
      </c>
      <c r="E11" s="3" t="s">
        <v>206</v>
      </c>
      <c r="F11" s="3" t="s">
        <v>202</v>
      </c>
      <c r="G11" s="2">
        <v>46583</v>
      </c>
      <c r="H11" s="6">
        <v>5000</v>
      </c>
      <c r="I11" s="6">
        <v>0</v>
      </c>
      <c r="J11" s="2"/>
      <c r="K11" s="2"/>
      <c r="L11" s="3" t="s">
        <v>66</v>
      </c>
      <c r="M11" s="36">
        <f>IF(C11="","",SUMIFS(ERP!$I$9:$I$1008,ERP!$F$9:$F$1008,C11,ERP!$N$9:$N$1008,1))</f>
        <v>0</v>
      </c>
      <c r="N11" s="37">
        <f t="shared" si="0"/>
        <v>5000</v>
      </c>
      <c r="O11" s="13">
        <f>IF(OR(C11="",NOT(ISNUMBER(Parametry!$G$10)),NOT(ISNUMBER(G11))),0,IF(OR(N11=0,YEAR(G11)&gt;Parametry!$G$6),0,IF(G11&lt;=Parametry!$G$10,Parametry!$G$7+1,MONTH(G11))))</f>
        <v>7</v>
      </c>
      <c r="P11" s="13">
        <f>IF(C11="",IF(COUNTA(D11:L11)&gt;0,1,0),IF(OR(COUNTIFS($C$9:$C$108,C11)&lt;&gt;1,COUNTIFS(Plan!$C$9:$C$38,D11)&lt;&gt;1,NOT(ISNUMBER(G11)),NOT(ISNUMBER(H11)),AND(I11&lt;&gt;"",NOT(ISNUMBER(I11))),SUM(H11:I11)&lt;0,L11=""),1,0))</f>
        <v>0</v>
      </c>
      <c r="Q11" s="7" t="str">
        <f t="shared" si="1"/>
        <v/>
      </c>
      <c r="R11" s="13" t="str">
        <f>IF(C11="","",IF(J11="","",IF(K11="","Brak terminu decyzji",IF(AND(ISNUMBER(Parametry!$G$10),K11&lt;=Parametry!$G$10+Parametry!$G$11),"Sprawdź odnowienie",""))))</f>
        <v/>
      </c>
      <c r="S11" s="7">
        <f t="shared" si="2"/>
        <v>0</v>
      </c>
    </row>
    <row r="12" spans="1:19" ht="24" customHeight="1">
      <c r="A12" s="7"/>
      <c r="B12" s="7"/>
      <c r="C12" s="3" t="s">
        <v>207</v>
      </c>
      <c r="D12" s="3" t="s">
        <v>113</v>
      </c>
      <c r="E12" s="3" t="s">
        <v>201</v>
      </c>
      <c r="F12" s="3" t="s">
        <v>208</v>
      </c>
      <c r="G12" s="2">
        <v>46614</v>
      </c>
      <c r="H12" s="6">
        <v>18000</v>
      </c>
      <c r="I12" s="6">
        <v>0</v>
      </c>
      <c r="J12" s="2"/>
      <c r="K12" s="2"/>
      <c r="L12" s="3" t="s">
        <v>66</v>
      </c>
      <c r="M12" s="36">
        <f>IF(C12="","",SUMIFS(ERP!$I$9:$I$1008,ERP!$F$9:$F$1008,C12,ERP!$N$9:$N$1008,1))</f>
        <v>0</v>
      </c>
      <c r="N12" s="37">
        <f t="shared" si="0"/>
        <v>18000</v>
      </c>
      <c r="O12" s="13">
        <f>IF(OR(C12="",NOT(ISNUMBER(Parametry!$G$10)),NOT(ISNUMBER(G12))),0,IF(OR(N12=0,YEAR(G12)&gt;Parametry!$G$6),0,IF(G12&lt;=Parametry!$G$10,Parametry!$G$7+1,MONTH(G12))))</f>
        <v>8</v>
      </c>
      <c r="P12" s="13">
        <f>IF(C12="",IF(COUNTA(D12:L12)&gt;0,1,0),IF(OR(COUNTIFS($C$9:$C$108,C12)&lt;&gt;1,COUNTIFS(Plan!$C$9:$C$38,D12)&lt;&gt;1,NOT(ISNUMBER(G12)),NOT(ISNUMBER(H12)),AND(I12&lt;&gt;"",NOT(ISNUMBER(I12))),SUM(H12:I12)&lt;0,L12=""),1,0))</f>
        <v>0</v>
      </c>
      <c r="Q12" s="7" t="str">
        <f t="shared" si="1"/>
        <v/>
      </c>
      <c r="R12" s="13" t="str">
        <f>IF(C12="","",IF(J12="","",IF(K12="","Brak terminu decyzji",IF(AND(ISNUMBER(Parametry!$G$10),K12&lt;=Parametry!$G$10+Parametry!$G$11),"Sprawdź odnowienie",""))))</f>
        <v/>
      </c>
      <c r="S12" s="7">
        <f t="shared" si="2"/>
        <v>0</v>
      </c>
    </row>
    <row r="13" spans="1:19" ht="24" customHeight="1">
      <c r="A13" s="7"/>
      <c r="B13" s="7"/>
      <c r="C13" s="3" t="s">
        <v>209</v>
      </c>
      <c r="D13" s="3" t="s">
        <v>119</v>
      </c>
      <c r="E13" s="3" t="s">
        <v>204</v>
      </c>
      <c r="F13" s="3" t="s">
        <v>208</v>
      </c>
      <c r="G13" s="2">
        <v>46614</v>
      </c>
      <c r="H13" s="6">
        <v>3000</v>
      </c>
      <c r="I13" s="6">
        <v>0</v>
      </c>
      <c r="J13" s="2"/>
      <c r="K13" s="2"/>
      <c r="L13" s="3" t="s">
        <v>66</v>
      </c>
      <c r="M13" s="36">
        <f>IF(C13="","",SUMIFS(ERP!$I$9:$I$1008,ERP!$F$9:$F$1008,C13,ERP!$N$9:$N$1008,1))</f>
        <v>0</v>
      </c>
      <c r="N13" s="37">
        <f t="shared" si="0"/>
        <v>3000</v>
      </c>
      <c r="O13" s="13">
        <f>IF(OR(C13="",NOT(ISNUMBER(Parametry!$G$10)),NOT(ISNUMBER(G13))),0,IF(OR(N13=0,YEAR(G13)&gt;Parametry!$G$6),0,IF(G13&lt;=Parametry!$G$10,Parametry!$G$7+1,MONTH(G13))))</f>
        <v>8</v>
      </c>
      <c r="P13" s="13">
        <f>IF(C13="",IF(COUNTA(D13:L13)&gt;0,1,0),IF(OR(COUNTIFS($C$9:$C$108,C13)&lt;&gt;1,COUNTIFS(Plan!$C$9:$C$38,D13)&lt;&gt;1,NOT(ISNUMBER(G13)),NOT(ISNUMBER(H13)),AND(I13&lt;&gt;"",NOT(ISNUMBER(I13))),SUM(H13:I13)&lt;0,L13=""),1,0))</f>
        <v>0</v>
      </c>
      <c r="Q13" s="7" t="str">
        <f t="shared" si="1"/>
        <v/>
      </c>
      <c r="R13" s="13" t="str">
        <f>IF(C13="","",IF(J13="","",IF(K13="","Brak terminu decyzji",IF(AND(ISNUMBER(Parametry!$G$10),K13&lt;=Parametry!$G$10+Parametry!$G$11),"Sprawdź odnowienie",""))))</f>
        <v/>
      </c>
      <c r="S13" s="7">
        <f t="shared" si="2"/>
        <v>0</v>
      </c>
    </row>
    <row r="14" spans="1:19" ht="24" customHeight="1">
      <c r="A14" s="7"/>
      <c r="B14" s="7"/>
      <c r="C14" s="3" t="s">
        <v>210</v>
      </c>
      <c r="D14" s="3" t="s">
        <v>122</v>
      </c>
      <c r="E14" s="3" t="s">
        <v>206</v>
      </c>
      <c r="F14" s="3" t="s">
        <v>208</v>
      </c>
      <c r="G14" s="2">
        <v>46614</v>
      </c>
      <c r="H14" s="6">
        <v>5000</v>
      </c>
      <c r="I14" s="6">
        <v>0</v>
      </c>
      <c r="J14" s="2"/>
      <c r="K14" s="2"/>
      <c r="L14" s="3" t="s">
        <v>66</v>
      </c>
      <c r="M14" s="36">
        <f>IF(C14="","",SUMIFS(ERP!$I$9:$I$1008,ERP!$F$9:$F$1008,C14,ERP!$N$9:$N$1008,1))</f>
        <v>0</v>
      </c>
      <c r="N14" s="37">
        <f t="shared" si="0"/>
        <v>5000</v>
      </c>
      <c r="O14" s="13">
        <f>IF(OR(C14="",NOT(ISNUMBER(Parametry!$G$10)),NOT(ISNUMBER(G14))),0,IF(OR(N14=0,YEAR(G14)&gt;Parametry!$G$6),0,IF(G14&lt;=Parametry!$G$10,Parametry!$G$7+1,MONTH(G14))))</f>
        <v>8</v>
      </c>
      <c r="P14" s="13">
        <f>IF(C14="",IF(COUNTA(D14:L14)&gt;0,1,0),IF(OR(COUNTIFS($C$9:$C$108,C14)&lt;&gt;1,COUNTIFS(Plan!$C$9:$C$38,D14)&lt;&gt;1,NOT(ISNUMBER(G14)),NOT(ISNUMBER(H14)),AND(I14&lt;&gt;"",NOT(ISNUMBER(I14))),SUM(H14:I14)&lt;0,L14=""),1,0))</f>
        <v>0</v>
      </c>
      <c r="Q14" s="7" t="str">
        <f t="shared" si="1"/>
        <v/>
      </c>
      <c r="R14" s="13" t="str">
        <f>IF(C14="","",IF(J14="","",IF(K14="","Brak terminu decyzji",IF(AND(ISNUMBER(Parametry!$G$10),K14&lt;=Parametry!$G$10+Parametry!$G$11),"Sprawdź odnowienie",""))))</f>
        <v/>
      </c>
      <c r="S14" s="7">
        <f t="shared" si="2"/>
        <v>0</v>
      </c>
    </row>
    <row r="15" spans="1:19" ht="24" customHeight="1">
      <c r="A15" s="7"/>
      <c r="B15" s="7"/>
      <c r="C15" s="3" t="s">
        <v>211</v>
      </c>
      <c r="D15" s="3" t="s">
        <v>113</v>
      </c>
      <c r="E15" s="3" t="s">
        <v>201</v>
      </c>
      <c r="F15" s="3" t="s">
        <v>212</v>
      </c>
      <c r="G15" s="2">
        <v>46645</v>
      </c>
      <c r="H15" s="6">
        <v>18000</v>
      </c>
      <c r="I15" s="6">
        <v>0</v>
      </c>
      <c r="J15" s="2"/>
      <c r="K15" s="2"/>
      <c r="L15" s="3" t="s">
        <v>66</v>
      </c>
      <c r="M15" s="36">
        <f>IF(C15="","",SUMIFS(ERP!$I$9:$I$1008,ERP!$F$9:$F$1008,C15,ERP!$N$9:$N$1008,1))</f>
        <v>0</v>
      </c>
      <c r="N15" s="37">
        <f t="shared" si="0"/>
        <v>18000</v>
      </c>
      <c r="O15" s="13">
        <f>IF(OR(C15="",NOT(ISNUMBER(Parametry!$G$10)),NOT(ISNUMBER(G15))),0,IF(OR(N15=0,YEAR(G15)&gt;Parametry!$G$6),0,IF(G15&lt;=Parametry!$G$10,Parametry!$G$7+1,MONTH(G15))))</f>
        <v>9</v>
      </c>
      <c r="P15" s="13">
        <f>IF(C15="",IF(COUNTA(D15:L15)&gt;0,1,0),IF(OR(COUNTIFS($C$9:$C$108,C15)&lt;&gt;1,COUNTIFS(Plan!$C$9:$C$38,D15)&lt;&gt;1,NOT(ISNUMBER(G15)),NOT(ISNUMBER(H15)),AND(I15&lt;&gt;"",NOT(ISNUMBER(I15))),SUM(H15:I15)&lt;0,L15=""),1,0))</f>
        <v>0</v>
      </c>
      <c r="Q15" s="7" t="str">
        <f t="shared" si="1"/>
        <v/>
      </c>
      <c r="R15" s="13" t="str">
        <f>IF(C15="","",IF(J15="","",IF(K15="","Brak terminu decyzji",IF(AND(ISNUMBER(Parametry!$G$10),K15&lt;=Parametry!$G$10+Parametry!$G$11),"Sprawdź odnowienie",""))))</f>
        <v/>
      </c>
      <c r="S15" s="7">
        <f t="shared" si="2"/>
        <v>0</v>
      </c>
    </row>
    <row r="16" spans="1:19" ht="24" customHeight="1">
      <c r="A16" s="7"/>
      <c r="B16" s="7"/>
      <c r="C16" s="3" t="s">
        <v>213</v>
      </c>
      <c r="D16" s="3" t="s">
        <v>119</v>
      </c>
      <c r="E16" s="3" t="s">
        <v>204</v>
      </c>
      <c r="F16" s="3" t="s">
        <v>212</v>
      </c>
      <c r="G16" s="2">
        <v>46645</v>
      </c>
      <c r="H16" s="6">
        <v>3000</v>
      </c>
      <c r="I16" s="6">
        <v>0</v>
      </c>
      <c r="J16" s="2"/>
      <c r="K16" s="2"/>
      <c r="L16" s="3" t="s">
        <v>66</v>
      </c>
      <c r="M16" s="36">
        <f>IF(C16="","",SUMIFS(ERP!$I$9:$I$1008,ERP!$F$9:$F$1008,C16,ERP!$N$9:$N$1008,1))</f>
        <v>0</v>
      </c>
      <c r="N16" s="37">
        <f t="shared" si="0"/>
        <v>3000</v>
      </c>
      <c r="O16" s="13">
        <f>IF(OR(C16="",NOT(ISNUMBER(Parametry!$G$10)),NOT(ISNUMBER(G16))),0,IF(OR(N16=0,YEAR(G16)&gt;Parametry!$G$6),0,IF(G16&lt;=Parametry!$G$10,Parametry!$G$7+1,MONTH(G16))))</f>
        <v>9</v>
      </c>
      <c r="P16" s="13">
        <f>IF(C16="",IF(COUNTA(D16:L16)&gt;0,1,0),IF(OR(COUNTIFS($C$9:$C$108,C16)&lt;&gt;1,COUNTIFS(Plan!$C$9:$C$38,D16)&lt;&gt;1,NOT(ISNUMBER(G16)),NOT(ISNUMBER(H16)),AND(I16&lt;&gt;"",NOT(ISNUMBER(I16))),SUM(H16:I16)&lt;0,L16=""),1,0))</f>
        <v>0</v>
      </c>
      <c r="Q16" s="7" t="str">
        <f t="shared" si="1"/>
        <v/>
      </c>
      <c r="R16" s="13" t="str">
        <f>IF(C16="","",IF(J16="","",IF(K16="","Brak terminu decyzji",IF(AND(ISNUMBER(Parametry!$G$10),K16&lt;=Parametry!$G$10+Parametry!$G$11),"Sprawdź odnowienie",""))))</f>
        <v/>
      </c>
      <c r="S16" s="7">
        <f t="shared" si="2"/>
        <v>0</v>
      </c>
    </row>
    <row r="17" spans="1:19" ht="24" customHeight="1">
      <c r="A17" s="7"/>
      <c r="B17" s="7"/>
      <c r="C17" s="3" t="s">
        <v>214</v>
      </c>
      <c r="D17" s="3" t="s">
        <v>122</v>
      </c>
      <c r="E17" s="3" t="s">
        <v>206</v>
      </c>
      <c r="F17" s="3" t="s">
        <v>212</v>
      </c>
      <c r="G17" s="2">
        <v>46645</v>
      </c>
      <c r="H17" s="6">
        <v>5000</v>
      </c>
      <c r="I17" s="6">
        <v>0</v>
      </c>
      <c r="J17" s="2"/>
      <c r="K17" s="2"/>
      <c r="L17" s="3" t="s">
        <v>66</v>
      </c>
      <c r="M17" s="36">
        <f>IF(C17="","",SUMIFS(ERP!$I$9:$I$1008,ERP!$F$9:$F$1008,C17,ERP!$N$9:$N$1008,1))</f>
        <v>0</v>
      </c>
      <c r="N17" s="37">
        <f t="shared" si="0"/>
        <v>5000</v>
      </c>
      <c r="O17" s="13">
        <f>IF(OR(C17="",NOT(ISNUMBER(Parametry!$G$10)),NOT(ISNUMBER(G17))),0,IF(OR(N17=0,YEAR(G17)&gt;Parametry!$G$6),0,IF(G17&lt;=Parametry!$G$10,Parametry!$G$7+1,MONTH(G17))))</f>
        <v>9</v>
      </c>
      <c r="P17" s="13">
        <f>IF(C17="",IF(COUNTA(D17:L17)&gt;0,1,0),IF(OR(COUNTIFS($C$9:$C$108,C17)&lt;&gt;1,COUNTIFS(Plan!$C$9:$C$38,D17)&lt;&gt;1,NOT(ISNUMBER(G17)),NOT(ISNUMBER(H17)),AND(I17&lt;&gt;"",NOT(ISNUMBER(I17))),SUM(H17:I17)&lt;0,L17=""),1,0))</f>
        <v>0</v>
      </c>
      <c r="Q17" s="7" t="str">
        <f t="shared" si="1"/>
        <v/>
      </c>
      <c r="R17" s="13" t="str">
        <f>IF(C17="","",IF(J17="","",IF(K17="","Brak terminu decyzji",IF(AND(ISNUMBER(Parametry!$G$10),K17&lt;=Parametry!$G$10+Parametry!$G$11),"Sprawdź odnowienie",""))))</f>
        <v/>
      </c>
      <c r="S17" s="7">
        <f t="shared" si="2"/>
        <v>0</v>
      </c>
    </row>
    <row r="18" spans="1:19" ht="24" customHeight="1">
      <c r="A18" s="7"/>
      <c r="B18" s="7"/>
      <c r="C18" s="3" t="s">
        <v>215</v>
      </c>
      <c r="D18" s="3" t="s">
        <v>113</v>
      </c>
      <c r="E18" s="3" t="s">
        <v>201</v>
      </c>
      <c r="F18" s="3" t="s">
        <v>216</v>
      </c>
      <c r="G18" s="2">
        <v>46675</v>
      </c>
      <c r="H18" s="6">
        <v>18000</v>
      </c>
      <c r="I18" s="6">
        <v>0</v>
      </c>
      <c r="J18" s="2"/>
      <c r="K18" s="2"/>
      <c r="L18" s="3" t="s">
        <v>66</v>
      </c>
      <c r="M18" s="36">
        <f>IF(C18="","",SUMIFS(ERP!$I$9:$I$1008,ERP!$F$9:$F$1008,C18,ERP!$N$9:$N$1008,1))</f>
        <v>0</v>
      </c>
      <c r="N18" s="37">
        <f t="shared" si="0"/>
        <v>18000</v>
      </c>
      <c r="O18" s="13">
        <f>IF(OR(C18="",NOT(ISNUMBER(Parametry!$G$10)),NOT(ISNUMBER(G18))),0,IF(OR(N18=0,YEAR(G18)&gt;Parametry!$G$6),0,IF(G18&lt;=Parametry!$G$10,Parametry!$G$7+1,MONTH(G18))))</f>
        <v>10</v>
      </c>
      <c r="P18" s="13">
        <f>IF(C18="",IF(COUNTA(D18:L18)&gt;0,1,0),IF(OR(COUNTIFS($C$9:$C$108,C18)&lt;&gt;1,COUNTIFS(Plan!$C$9:$C$38,D18)&lt;&gt;1,NOT(ISNUMBER(G18)),NOT(ISNUMBER(H18)),AND(I18&lt;&gt;"",NOT(ISNUMBER(I18))),SUM(H18:I18)&lt;0,L18=""),1,0))</f>
        <v>0</v>
      </c>
      <c r="Q18" s="7" t="str">
        <f t="shared" si="1"/>
        <v/>
      </c>
      <c r="R18" s="13" t="str">
        <f>IF(C18="","",IF(J18="","",IF(K18="","Brak terminu decyzji",IF(AND(ISNUMBER(Parametry!$G$10),K18&lt;=Parametry!$G$10+Parametry!$G$11),"Sprawdź odnowienie",""))))</f>
        <v/>
      </c>
      <c r="S18" s="7">
        <f t="shared" si="2"/>
        <v>0</v>
      </c>
    </row>
    <row r="19" spans="1:19" ht="24" customHeight="1">
      <c r="A19" s="7"/>
      <c r="B19" s="7"/>
      <c r="C19" s="3" t="s">
        <v>217</v>
      </c>
      <c r="D19" s="3" t="s">
        <v>119</v>
      </c>
      <c r="E19" s="3" t="s">
        <v>204</v>
      </c>
      <c r="F19" s="3" t="s">
        <v>216</v>
      </c>
      <c r="G19" s="2">
        <v>46675</v>
      </c>
      <c r="H19" s="6">
        <v>3000</v>
      </c>
      <c r="I19" s="6">
        <v>0</v>
      </c>
      <c r="J19" s="2"/>
      <c r="K19" s="2"/>
      <c r="L19" s="3" t="s">
        <v>66</v>
      </c>
      <c r="M19" s="36">
        <f>IF(C19="","",SUMIFS(ERP!$I$9:$I$1008,ERP!$F$9:$F$1008,C19,ERP!$N$9:$N$1008,1))</f>
        <v>0</v>
      </c>
      <c r="N19" s="37">
        <f t="shared" si="0"/>
        <v>3000</v>
      </c>
      <c r="O19" s="13">
        <f>IF(OR(C19="",NOT(ISNUMBER(Parametry!$G$10)),NOT(ISNUMBER(G19))),0,IF(OR(N19=0,YEAR(G19)&gt;Parametry!$G$6),0,IF(G19&lt;=Parametry!$G$10,Parametry!$G$7+1,MONTH(G19))))</f>
        <v>10</v>
      </c>
      <c r="P19" s="13">
        <f>IF(C19="",IF(COUNTA(D19:L19)&gt;0,1,0),IF(OR(COUNTIFS($C$9:$C$108,C19)&lt;&gt;1,COUNTIFS(Plan!$C$9:$C$38,D19)&lt;&gt;1,NOT(ISNUMBER(G19)),NOT(ISNUMBER(H19)),AND(I19&lt;&gt;"",NOT(ISNUMBER(I19))),SUM(H19:I19)&lt;0,L19=""),1,0))</f>
        <v>0</v>
      </c>
      <c r="Q19" s="7" t="str">
        <f t="shared" si="1"/>
        <v/>
      </c>
      <c r="R19" s="13" t="str">
        <f>IF(C19="","",IF(J19="","",IF(K19="","Brak terminu decyzji",IF(AND(ISNUMBER(Parametry!$G$10),K19&lt;=Parametry!$G$10+Parametry!$G$11),"Sprawdź odnowienie",""))))</f>
        <v/>
      </c>
      <c r="S19" s="7">
        <f t="shared" si="2"/>
        <v>0</v>
      </c>
    </row>
    <row r="20" spans="1:19" ht="24" customHeight="1">
      <c r="A20" s="7"/>
      <c r="B20" s="7"/>
      <c r="C20" s="3" t="s">
        <v>218</v>
      </c>
      <c r="D20" s="3" t="s">
        <v>122</v>
      </c>
      <c r="E20" s="3" t="s">
        <v>206</v>
      </c>
      <c r="F20" s="3" t="s">
        <v>216</v>
      </c>
      <c r="G20" s="2">
        <v>46675</v>
      </c>
      <c r="H20" s="6">
        <v>5000</v>
      </c>
      <c r="I20" s="6">
        <v>0</v>
      </c>
      <c r="J20" s="2"/>
      <c r="K20" s="2"/>
      <c r="L20" s="3" t="s">
        <v>66</v>
      </c>
      <c r="M20" s="36">
        <f>IF(C20="","",SUMIFS(ERP!$I$9:$I$1008,ERP!$F$9:$F$1008,C20,ERP!$N$9:$N$1008,1))</f>
        <v>0</v>
      </c>
      <c r="N20" s="37">
        <f t="shared" si="0"/>
        <v>5000</v>
      </c>
      <c r="O20" s="13">
        <f>IF(OR(C20="",NOT(ISNUMBER(Parametry!$G$10)),NOT(ISNUMBER(G20))),0,IF(OR(N20=0,YEAR(G20)&gt;Parametry!$G$6),0,IF(G20&lt;=Parametry!$G$10,Parametry!$G$7+1,MONTH(G20))))</f>
        <v>10</v>
      </c>
      <c r="P20" s="13">
        <f>IF(C20="",IF(COUNTA(D20:L20)&gt;0,1,0),IF(OR(COUNTIFS($C$9:$C$108,C20)&lt;&gt;1,COUNTIFS(Plan!$C$9:$C$38,D20)&lt;&gt;1,NOT(ISNUMBER(G20)),NOT(ISNUMBER(H20)),AND(I20&lt;&gt;"",NOT(ISNUMBER(I20))),SUM(H20:I20)&lt;0,L20=""),1,0))</f>
        <v>0</v>
      </c>
      <c r="Q20" s="7" t="str">
        <f t="shared" si="1"/>
        <v/>
      </c>
      <c r="R20" s="13" t="str">
        <f>IF(C20="","",IF(J20="","",IF(K20="","Brak terminu decyzji",IF(AND(ISNUMBER(Parametry!$G$10),K20&lt;=Parametry!$G$10+Parametry!$G$11),"Sprawdź odnowienie",""))))</f>
        <v/>
      </c>
      <c r="S20" s="7">
        <f t="shared" si="2"/>
        <v>0</v>
      </c>
    </row>
    <row r="21" spans="1:19" ht="24" customHeight="1">
      <c r="A21" s="7"/>
      <c r="B21" s="7"/>
      <c r="C21" s="3" t="s">
        <v>219</v>
      </c>
      <c r="D21" s="3" t="s">
        <v>113</v>
      </c>
      <c r="E21" s="3" t="s">
        <v>201</v>
      </c>
      <c r="F21" s="3" t="s">
        <v>220</v>
      </c>
      <c r="G21" s="2">
        <v>46706</v>
      </c>
      <c r="H21" s="6">
        <v>18000</v>
      </c>
      <c r="I21" s="6">
        <v>0</v>
      </c>
      <c r="J21" s="2"/>
      <c r="K21" s="2"/>
      <c r="L21" s="3" t="s">
        <v>66</v>
      </c>
      <c r="M21" s="36">
        <f>IF(C21="","",SUMIFS(ERP!$I$9:$I$1008,ERP!$F$9:$F$1008,C21,ERP!$N$9:$N$1008,1))</f>
        <v>0</v>
      </c>
      <c r="N21" s="37">
        <f t="shared" si="0"/>
        <v>18000</v>
      </c>
      <c r="O21" s="13">
        <f>IF(OR(C21="",NOT(ISNUMBER(Parametry!$G$10)),NOT(ISNUMBER(G21))),0,IF(OR(N21=0,YEAR(G21)&gt;Parametry!$G$6),0,IF(G21&lt;=Parametry!$G$10,Parametry!$G$7+1,MONTH(G21))))</f>
        <v>11</v>
      </c>
      <c r="P21" s="13">
        <f>IF(C21="",IF(COUNTA(D21:L21)&gt;0,1,0),IF(OR(COUNTIFS($C$9:$C$108,C21)&lt;&gt;1,COUNTIFS(Plan!$C$9:$C$38,D21)&lt;&gt;1,NOT(ISNUMBER(G21)),NOT(ISNUMBER(H21)),AND(I21&lt;&gt;"",NOT(ISNUMBER(I21))),SUM(H21:I21)&lt;0,L21=""),1,0))</f>
        <v>0</v>
      </c>
      <c r="Q21" s="7" t="str">
        <f t="shared" si="1"/>
        <v/>
      </c>
      <c r="R21" s="13" t="str">
        <f>IF(C21="","",IF(J21="","",IF(K21="","Brak terminu decyzji",IF(AND(ISNUMBER(Parametry!$G$10),K21&lt;=Parametry!$G$10+Parametry!$G$11),"Sprawdź odnowienie",""))))</f>
        <v/>
      </c>
      <c r="S21" s="7">
        <f t="shared" si="2"/>
        <v>0</v>
      </c>
    </row>
    <row r="22" spans="1:19" ht="24" customHeight="1">
      <c r="A22" s="7"/>
      <c r="B22" s="7"/>
      <c r="C22" s="3" t="s">
        <v>221</v>
      </c>
      <c r="D22" s="3" t="s">
        <v>119</v>
      </c>
      <c r="E22" s="3" t="s">
        <v>204</v>
      </c>
      <c r="F22" s="3" t="s">
        <v>220</v>
      </c>
      <c r="G22" s="2">
        <v>46706</v>
      </c>
      <c r="H22" s="6">
        <v>3000</v>
      </c>
      <c r="I22" s="6">
        <v>0</v>
      </c>
      <c r="J22" s="2"/>
      <c r="K22" s="2"/>
      <c r="L22" s="3" t="s">
        <v>66</v>
      </c>
      <c r="M22" s="36">
        <f>IF(C22="","",SUMIFS(ERP!$I$9:$I$1008,ERP!$F$9:$F$1008,C22,ERP!$N$9:$N$1008,1))</f>
        <v>0</v>
      </c>
      <c r="N22" s="37">
        <f t="shared" si="0"/>
        <v>3000</v>
      </c>
      <c r="O22" s="13">
        <f>IF(OR(C22="",NOT(ISNUMBER(Parametry!$G$10)),NOT(ISNUMBER(G22))),0,IF(OR(N22=0,YEAR(G22)&gt;Parametry!$G$6),0,IF(G22&lt;=Parametry!$G$10,Parametry!$G$7+1,MONTH(G22))))</f>
        <v>11</v>
      </c>
      <c r="P22" s="13">
        <f>IF(C22="",IF(COUNTA(D22:L22)&gt;0,1,0),IF(OR(COUNTIFS($C$9:$C$108,C22)&lt;&gt;1,COUNTIFS(Plan!$C$9:$C$38,D22)&lt;&gt;1,NOT(ISNUMBER(G22)),NOT(ISNUMBER(H22)),AND(I22&lt;&gt;"",NOT(ISNUMBER(I22))),SUM(H22:I22)&lt;0,L22=""),1,0))</f>
        <v>0</v>
      </c>
      <c r="Q22" s="7" t="str">
        <f t="shared" si="1"/>
        <v/>
      </c>
      <c r="R22" s="13" t="str">
        <f>IF(C22="","",IF(J22="","",IF(K22="","Brak terminu decyzji",IF(AND(ISNUMBER(Parametry!$G$10),K22&lt;=Parametry!$G$10+Parametry!$G$11),"Sprawdź odnowienie",""))))</f>
        <v/>
      </c>
      <c r="S22" s="7">
        <f t="shared" si="2"/>
        <v>0</v>
      </c>
    </row>
    <row r="23" spans="1:19" ht="24" customHeight="1">
      <c r="A23" s="7"/>
      <c r="B23" s="7"/>
      <c r="C23" s="3" t="s">
        <v>222</v>
      </c>
      <c r="D23" s="3" t="s">
        <v>122</v>
      </c>
      <c r="E23" s="3" t="s">
        <v>206</v>
      </c>
      <c r="F23" s="3" t="s">
        <v>220</v>
      </c>
      <c r="G23" s="2">
        <v>46706</v>
      </c>
      <c r="H23" s="6">
        <v>5000</v>
      </c>
      <c r="I23" s="6">
        <v>0</v>
      </c>
      <c r="J23" s="2"/>
      <c r="K23" s="2"/>
      <c r="L23" s="3" t="s">
        <v>66</v>
      </c>
      <c r="M23" s="36">
        <f>IF(C23="","",SUMIFS(ERP!$I$9:$I$1008,ERP!$F$9:$F$1008,C23,ERP!$N$9:$N$1008,1))</f>
        <v>0</v>
      </c>
      <c r="N23" s="37">
        <f t="shared" si="0"/>
        <v>5000</v>
      </c>
      <c r="O23" s="13">
        <f>IF(OR(C23="",NOT(ISNUMBER(Parametry!$G$10)),NOT(ISNUMBER(G23))),0,IF(OR(N23=0,YEAR(G23)&gt;Parametry!$G$6),0,IF(G23&lt;=Parametry!$G$10,Parametry!$G$7+1,MONTH(G23))))</f>
        <v>11</v>
      </c>
      <c r="P23" s="13">
        <f>IF(C23="",IF(COUNTA(D23:L23)&gt;0,1,0),IF(OR(COUNTIFS($C$9:$C$108,C23)&lt;&gt;1,COUNTIFS(Plan!$C$9:$C$38,D23)&lt;&gt;1,NOT(ISNUMBER(G23)),NOT(ISNUMBER(H23)),AND(I23&lt;&gt;"",NOT(ISNUMBER(I23))),SUM(H23:I23)&lt;0,L23=""),1,0))</f>
        <v>0</v>
      </c>
      <c r="Q23" s="7" t="str">
        <f t="shared" si="1"/>
        <v/>
      </c>
      <c r="R23" s="13" t="str">
        <f>IF(C23="","",IF(J23="","",IF(K23="","Brak terminu decyzji",IF(AND(ISNUMBER(Parametry!$G$10),K23&lt;=Parametry!$G$10+Parametry!$G$11),"Sprawdź odnowienie",""))))</f>
        <v/>
      </c>
      <c r="S23" s="7">
        <f t="shared" si="2"/>
        <v>0</v>
      </c>
    </row>
    <row r="24" spans="1:19" ht="24" customHeight="1">
      <c r="A24" s="7"/>
      <c r="B24" s="7"/>
      <c r="C24" s="3" t="s">
        <v>223</v>
      </c>
      <c r="D24" s="3" t="s">
        <v>113</v>
      </c>
      <c r="E24" s="3" t="s">
        <v>201</v>
      </c>
      <c r="F24" s="3" t="s">
        <v>224</v>
      </c>
      <c r="G24" s="2">
        <v>46736</v>
      </c>
      <c r="H24" s="6">
        <v>18000</v>
      </c>
      <c r="I24" s="6">
        <v>0</v>
      </c>
      <c r="J24" s="2"/>
      <c r="K24" s="2"/>
      <c r="L24" s="3" t="s">
        <v>66</v>
      </c>
      <c r="M24" s="36">
        <f>IF(C24="","",SUMIFS(ERP!$I$9:$I$1008,ERP!$F$9:$F$1008,C24,ERP!$N$9:$N$1008,1))</f>
        <v>0</v>
      </c>
      <c r="N24" s="37">
        <f t="shared" si="0"/>
        <v>18000</v>
      </c>
      <c r="O24" s="13">
        <f>IF(OR(C24="",NOT(ISNUMBER(Parametry!$G$10)),NOT(ISNUMBER(G24))),0,IF(OR(N24=0,YEAR(G24)&gt;Parametry!$G$6),0,IF(G24&lt;=Parametry!$G$10,Parametry!$G$7+1,MONTH(G24))))</f>
        <v>12</v>
      </c>
      <c r="P24" s="13">
        <f>IF(C24="",IF(COUNTA(D24:L24)&gt;0,1,0),IF(OR(COUNTIFS($C$9:$C$108,C24)&lt;&gt;1,COUNTIFS(Plan!$C$9:$C$38,D24)&lt;&gt;1,NOT(ISNUMBER(G24)),NOT(ISNUMBER(H24)),AND(I24&lt;&gt;"",NOT(ISNUMBER(I24))),SUM(H24:I24)&lt;0,L24=""),1,0))</f>
        <v>0</v>
      </c>
      <c r="Q24" s="7" t="str">
        <f t="shared" si="1"/>
        <v/>
      </c>
      <c r="R24" s="13" t="str">
        <f>IF(C24="","",IF(J24="","",IF(K24="","Brak terminu decyzji",IF(AND(ISNUMBER(Parametry!$G$10),K24&lt;=Parametry!$G$10+Parametry!$G$11),"Sprawdź odnowienie",""))))</f>
        <v/>
      </c>
      <c r="S24" s="7">
        <f t="shared" si="2"/>
        <v>0</v>
      </c>
    </row>
    <row r="25" spans="1:19" ht="24" customHeight="1">
      <c r="A25" s="7"/>
      <c r="B25" s="7"/>
      <c r="C25" s="3" t="s">
        <v>225</v>
      </c>
      <c r="D25" s="3" t="s">
        <v>119</v>
      </c>
      <c r="E25" s="3" t="s">
        <v>204</v>
      </c>
      <c r="F25" s="3" t="s">
        <v>224</v>
      </c>
      <c r="G25" s="2">
        <v>46736</v>
      </c>
      <c r="H25" s="6">
        <v>3000</v>
      </c>
      <c r="I25" s="6">
        <v>0</v>
      </c>
      <c r="J25" s="2"/>
      <c r="K25" s="2"/>
      <c r="L25" s="3" t="s">
        <v>66</v>
      </c>
      <c r="M25" s="36">
        <f>IF(C25="","",SUMIFS(ERP!$I$9:$I$1008,ERP!$F$9:$F$1008,C25,ERP!$N$9:$N$1008,1))</f>
        <v>0</v>
      </c>
      <c r="N25" s="37">
        <f t="shared" si="0"/>
        <v>3000</v>
      </c>
      <c r="O25" s="13">
        <f>IF(OR(C25="",NOT(ISNUMBER(Parametry!$G$10)),NOT(ISNUMBER(G25))),0,IF(OR(N25=0,YEAR(G25)&gt;Parametry!$G$6),0,IF(G25&lt;=Parametry!$G$10,Parametry!$G$7+1,MONTH(G25))))</f>
        <v>12</v>
      </c>
      <c r="P25" s="13">
        <f>IF(C25="",IF(COUNTA(D25:L25)&gt;0,1,0),IF(OR(COUNTIFS($C$9:$C$108,C25)&lt;&gt;1,COUNTIFS(Plan!$C$9:$C$38,D25)&lt;&gt;1,NOT(ISNUMBER(G25)),NOT(ISNUMBER(H25)),AND(I25&lt;&gt;"",NOT(ISNUMBER(I25))),SUM(H25:I25)&lt;0,L25=""),1,0))</f>
        <v>0</v>
      </c>
      <c r="Q25" s="7" t="str">
        <f t="shared" si="1"/>
        <v/>
      </c>
      <c r="R25" s="13" t="str">
        <f>IF(C25="","",IF(J25="","",IF(K25="","Brak terminu decyzji",IF(AND(ISNUMBER(Parametry!$G$10),K25&lt;=Parametry!$G$10+Parametry!$G$11),"Sprawdź odnowienie",""))))</f>
        <v/>
      </c>
      <c r="S25" s="7">
        <f t="shared" si="2"/>
        <v>0</v>
      </c>
    </row>
    <row r="26" spans="1:19" ht="24" customHeight="1">
      <c r="A26" s="7"/>
      <c r="B26" s="7"/>
      <c r="C26" s="3" t="s">
        <v>226</v>
      </c>
      <c r="D26" s="3" t="s">
        <v>122</v>
      </c>
      <c r="E26" s="3" t="s">
        <v>206</v>
      </c>
      <c r="F26" s="3" t="s">
        <v>224</v>
      </c>
      <c r="G26" s="2">
        <v>46736</v>
      </c>
      <c r="H26" s="6">
        <v>5000</v>
      </c>
      <c r="I26" s="6">
        <v>0</v>
      </c>
      <c r="J26" s="2"/>
      <c r="K26" s="2"/>
      <c r="L26" s="3" t="s">
        <v>66</v>
      </c>
      <c r="M26" s="36">
        <f>IF(C26="","",SUMIFS(ERP!$I$9:$I$1008,ERP!$F$9:$F$1008,C26,ERP!$N$9:$N$1008,1))</f>
        <v>0</v>
      </c>
      <c r="N26" s="37">
        <f t="shared" si="0"/>
        <v>5000</v>
      </c>
      <c r="O26" s="13">
        <f>IF(OR(C26="",NOT(ISNUMBER(Parametry!$G$10)),NOT(ISNUMBER(G26))),0,IF(OR(N26=0,YEAR(G26)&gt;Parametry!$G$6),0,IF(G26&lt;=Parametry!$G$10,Parametry!$G$7+1,MONTH(G26))))</f>
        <v>12</v>
      </c>
      <c r="P26" s="13">
        <f>IF(C26="",IF(COUNTA(D26:L26)&gt;0,1,0),IF(OR(COUNTIFS($C$9:$C$108,C26)&lt;&gt;1,COUNTIFS(Plan!$C$9:$C$38,D26)&lt;&gt;1,NOT(ISNUMBER(G26)),NOT(ISNUMBER(H26)),AND(I26&lt;&gt;"",NOT(ISNUMBER(I26))),SUM(H26:I26)&lt;0,L26=""),1,0))</f>
        <v>0</v>
      </c>
      <c r="Q26" s="7" t="str">
        <f t="shared" si="1"/>
        <v/>
      </c>
      <c r="R26" s="13" t="str">
        <f>IF(C26="","",IF(J26="","",IF(K26="","Brak terminu decyzji",IF(AND(ISNUMBER(Parametry!$G$10),K26&lt;=Parametry!$G$10+Parametry!$G$11),"Sprawdź odnowienie",""))))</f>
        <v/>
      </c>
      <c r="S26" s="7">
        <f t="shared" si="2"/>
        <v>0</v>
      </c>
    </row>
    <row r="27" spans="1:19" ht="24" customHeight="1">
      <c r="A27" s="7"/>
      <c r="B27" s="7"/>
      <c r="C27" s="3" t="s">
        <v>227</v>
      </c>
      <c r="D27" s="3" t="s">
        <v>116</v>
      </c>
      <c r="E27" s="3" t="s">
        <v>228</v>
      </c>
      <c r="F27" s="3" t="s">
        <v>229</v>
      </c>
      <c r="G27" s="2">
        <v>46402</v>
      </c>
      <c r="H27" s="6">
        <v>144000</v>
      </c>
      <c r="I27" s="6">
        <v>0</v>
      </c>
      <c r="J27" s="2">
        <v>46753</v>
      </c>
      <c r="K27" s="2">
        <v>46660</v>
      </c>
      <c r="L27" s="3" t="s">
        <v>40</v>
      </c>
      <c r="M27" s="36">
        <f>IF(C27="","",SUMIFS(ERP!$I$9:$I$1008,ERP!$F$9:$F$1008,C27,ERP!$N$9:$N$1008,1))</f>
        <v>118000</v>
      </c>
      <c r="N27" s="37">
        <f t="shared" si="0"/>
        <v>26000</v>
      </c>
      <c r="O27" s="13">
        <f>IF(OR(C27="",NOT(ISNUMBER(Parametry!$G$10)),NOT(ISNUMBER(G27))),0,IF(OR(N27=0,YEAR(G27)&gt;Parametry!$G$6),0,IF(G27&lt;=Parametry!$G$10,Parametry!$G$7+1,MONTH(G27))))</f>
        <v>7</v>
      </c>
      <c r="P27" s="13">
        <f>IF(C27="",IF(COUNTA(D27:L27)&gt;0,1,0),IF(OR(COUNTIFS($C$9:$C$108,C27)&lt;&gt;1,COUNTIFS(Plan!$C$9:$C$38,D27)&lt;&gt;1,NOT(ISNUMBER(G27)),NOT(ISNUMBER(H27)),AND(I27&lt;&gt;"",NOT(ISNUMBER(I27))),SUM(H27:I27)&lt;0,L27=""),1,0))</f>
        <v>0</v>
      </c>
      <c r="Q27" s="7" t="str">
        <f t="shared" si="1"/>
        <v/>
      </c>
      <c r="R27" s="13" t="str">
        <f>IF(C27="","",IF(J27="","",IF(K27="","Brak terminu decyzji",IF(AND(ISNUMBER(Parametry!$G$10),K27&lt;=Parametry!$G$10+Parametry!$G$11),"Sprawdź odnowienie",""))))</f>
        <v/>
      </c>
      <c r="S27" s="7">
        <f t="shared" si="2"/>
        <v>0</v>
      </c>
    </row>
    <row r="28" spans="1:19" ht="24" customHeight="1">
      <c r="A28" s="7"/>
      <c r="B28" s="7"/>
      <c r="C28" s="3" t="s">
        <v>230</v>
      </c>
      <c r="D28" s="3" t="s">
        <v>128</v>
      </c>
      <c r="E28" s="3" t="s">
        <v>231</v>
      </c>
      <c r="F28" s="3" t="s">
        <v>232</v>
      </c>
      <c r="G28" s="2">
        <v>46645</v>
      </c>
      <c r="H28" s="6">
        <v>80000</v>
      </c>
      <c r="I28" s="6">
        <v>0</v>
      </c>
      <c r="J28" s="2"/>
      <c r="K28" s="2"/>
      <c r="L28" s="3" t="s">
        <v>40</v>
      </c>
      <c r="M28" s="36">
        <f>IF(C28="","",SUMIFS(ERP!$I$9:$I$1008,ERP!$F$9:$F$1008,C28,ERP!$N$9:$N$1008,1))</f>
        <v>0</v>
      </c>
      <c r="N28" s="37">
        <f t="shared" si="0"/>
        <v>80000</v>
      </c>
      <c r="O28" s="13">
        <f>IF(OR(C28="",NOT(ISNUMBER(Parametry!$G$10)),NOT(ISNUMBER(G28))),0,IF(OR(N28=0,YEAR(G28)&gt;Parametry!$G$6),0,IF(G28&lt;=Parametry!$G$10,Parametry!$G$7+1,MONTH(G28))))</f>
        <v>9</v>
      </c>
      <c r="P28" s="13">
        <f>IF(C28="",IF(COUNTA(D28:L28)&gt;0,1,0),IF(OR(COUNTIFS($C$9:$C$108,C28)&lt;&gt;1,COUNTIFS(Plan!$C$9:$C$38,D28)&lt;&gt;1,NOT(ISNUMBER(G28)),NOT(ISNUMBER(H28)),AND(I28&lt;&gt;"",NOT(ISNUMBER(I28))),SUM(H28:I28)&lt;0,L28=""),1,0))</f>
        <v>0</v>
      </c>
      <c r="Q28" s="7" t="str">
        <f t="shared" si="1"/>
        <v/>
      </c>
      <c r="R28" s="13" t="str">
        <f>IF(C28="","",IF(J28="","",IF(K28="","Brak terminu decyzji",IF(AND(ISNUMBER(Parametry!$G$10),K28&lt;=Parametry!$G$10+Parametry!$G$11),"Sprawdź odnowienie",""))))</f>
        <v/>
      </c>
      <c r="S28" s="7">
        <f t="shared" si="2"/>
        <v>0</v>
      </c>
    </row>
    <row r="29" spans="1:19" ht="24" customHeight="1">
      <c r="A29" s="7"/>
      <c r="B29" s="7"/>
      <c r="C29" s="3" t="s">
        <v>233</v>
      </c>
      <c r="D29" s="3" t="s">
        <v>131</v>
      </c>
      <c r="E29" s="3" t="s">
        <v>234</v>
      </c>
      <c r="F29" s="3" t="s">
        <v>235</v>
      </c>
      <c r="G29" s="2">
        <v>46767</v>
      </c>
      <c r="H29" s="6">
        <v>90000</v>
      </c>
      <c r="I29" s="6">
        <v>0</v>
      </c>
      <c r="J29" s="2"/>
      <c r="K29" s="2"/>
      <c r="L29" s="3" t="s">
        <v>40</v>
      </c>
      <c r="M29" s="36">
        <f>IF(C29="","",SUMIFS(ERP!$I$9:$I$1008,ERP!$F$9:$F$1008,C29,ERP!$N$9:$N$1008,1))</f>
        <v>0</v>
      </c>
      <c r="N29" s="37">
        <f t="shared" si="0"/>
        <v>90000</v>
      </c>
      <c r="O29" s="13">
        <f>IF(OR(C29="",NOT(ISNUMBER(Parametry!$G$10)),NOT(ISNUMBER(G29))),0,IF(OR(N29=0,YEAR(G29)&gt;Parametry!$G$6),0,IF(G29&lt;=Parametry!$G$10,Parametry!$G$7+1,MONTH(G29))))</f>
        <v>0</v>
      </c>
      <c r="P29" s="13">
        <f>IF(C29="",IF(COUNTA(D29:L29)&gt;0,1,0),IF(OR(COUNTIFS($C$9:$C$108,C29)&lt;&gt;1,COUNTIFS(Plan!$C$9:$C$38,D29)&lt;&gt;1,NOT(ISNUMBER(G29)),NOT(ISNUMBER(H29)),AND(I29&lt;&gt;"",NOT(ISNUMBER(I29))),SUM(H29:I29)&lt;0,L29=""),1,0))</f>
        <v>0</v>
      </c>
      <c r="Q29" s="7" t="str">
        <f t="shared" si="1"/>
        <v/>
      </c>
      <c r="R29" s="13" t="str">
        <f>IF(C29="","",IF(J29="","",IF(K29="","Brak terminu decyzji",IF(AND(ISNUMBER(Parametry!$G$10),K29&lt;=Parametry!$G$10+Parametry!$G$11),"Sprawdź odnowienie",""))))</f>
        <v/>
      </c>
      <c r="S29" s="7">
        <f t="shared" si="2"/>
        <v>0</v>
      </c>
    </row>
    <row r="30" spans="1:19" ht="24" customHeight="1">
      <c r="A30" s="7"/>
      <c r="B30" s="7"/>
      <c r="C30" s="3"/>
      <c r="D30" s="3"/>
      <c r="E30" s="3"/>
      <c r="F30" s="3"/>
      <c r="G30" s="2"/>
      <c r="H30" s="6"/>
      <c r="I30" s="6"/>
      <c r="J30" s="2"/>
      <c r="K30" s="2"/>
      <c r="L30" s="3"/>
      <c r="M30" s="36" t="str">
        <f>IF(C30="","",SUMIFS(ERP!$I$9:$I$1008,ERP!$F$9:$F$1008,C30,ERP!$N$9:$N$1008,1))</f>
        <v/>
      </c>
      <c r="N30" s="37" t="str">
        <f t="shared" si="0"/>
        <v/>
      </c>
      <c r="O30" s="13">
        <f>IF(OR(C30="",NOT(ISNUMBER(Parametry!$G$10)),NOT(ISNUMBER(G30))),0,IF(OR(N30=0,YEAR(G30)&gt;Parametry!$G$6),0,IF(G30&lt;=Parametry!$G$10,Parametry!$G$7+1,MONTH(G30))))</f>
        <v>0</v>
      </c>
      <c r="P30" s="13">
        <f>IF(C30="",IF(COUNTA(D30:L30)&gt;0,1,0),IF(OR(COUNTIFS($C$9:$C$108,C30)&lt;&gt;1,COUNTIFS(Plan!$C$9:$C$38,D30)&lt;&gt;1,NOT(ISNUMBER(G30)),NOT(ISNUMBER(H30)),AND(I30&lt;&gt;"",NOT(ISNUMBER(I30))),SUM(H30:I30)&lt;0,L30=""),1,0))</f>
        <v>0</v>
      </c>
      <c r="Q30" s="7" t="str">
        <f t="shared" si="1"/>
        <v/>
      </c>
      <c r="R30" s="13" t="str">
        <f>IF(C30="","",IF(J30="","",IF(K30="","Brak terminu decyzji",IF(AND(ISNUMBER(Parametry!$G$10),K30&lt;=Parametry!$G$10+Parametry!$G$11),"Sprawdź odnowienie",""))))</f>
        <v/>
      </c>
      <c r="S30" s="7" t="str">
        <f t="shared" si="2"/>
        <v/>
      </c>
    </row>
    <row r="31" spans="1:19" ht="24" customHeight="1">
      <c r="A31" s="7"/>
      <c r="B31" s="7"/>
      <c r="C31" s="3"/>
      <c r="D31" s="3"/>
      <c r="E31" s="3"/>
      <c r="F31" s="3"/>
      <c r="G31" s="2"/>
      <c r="H31" s="6"/>
      <c r="I31" s="6"/>
      <c r="J31" s="2"/>
      <c r="K31" s="2"/>
      <c r="L31" s="3"/>
      <c r="M31" s="36" t="str">
        <f>IF(C31="","",SUMIFS(ERP!$I$9:$I$1008,ERP!$F$9:$F$1008,C31,ERP!$N$9:$N$1008,1))</f>
        <v/>
      </c>
      <c r="N31" s="37" t="str">
        <f t="shared" si="0"/>
        <v/>
      </c>
      <c r="O31" s="13">
        <f>IF(OR(C31="",NOT(ISNUMBER(Parametry!$G$10)),NOT(ISNUMBER(G31))),0,IF(OR(N31=0,YEAR(G31)&gt;Parametry!$G$6),0,IF(G31&lt;=Parametry!$G$10,Parametry!$G$7+1,MONTH(G31))))</f>
        <v>0</v>
      </c>
      <c r="P31" s="13">
        <f>IF(C31="",IF(COUNTA(D31:L31)&gt;0,1,0),IF(OR(COUNTIFS($C$9:$C$108,C31)&lt;&gt;1,COUNTIFS(Plan!$C$9:$C$38,D31)&lt;&gt;1,NOT(ISNUMBER(G31)),NOT(ISNUMBER(H31)),AND(I31&lt;&gt;"",NOT(ISNUMBER(I31))),SUM(H31:I31)&lt;0,L31=""),1,0))</f>
        <v>0</v>
      </c>
      <c r="Q31" s="7" t="str">
        <f t="shared" si="1"/>
        <v/>
      </c>
      <c r="R31" s="13" t="str">
        <f>IF(C31="","",IF(J31="","",IF(K31="","Brak terminu decyzji",IF(AND(ISNUMBER(Parametry!$G$10),K31&lt;=Parametry!$G$10+Parametry!$G$11),"Sprawdź odnowienie",""))))</f>
        <v/>
      </c>
      <c r="S31" s="7" t="str">
        <f t="shared" si="2"/>
        <v/>
      </c>
    </row>
    <row r="32" spans="1:19" ht="24" customHeight="1">
      <c r="A32" s="7"/>
      <c r="B32" s="7"/>
      <c r="C32" s="3"/>
      <c r="D32" s="3"/>
      <c r="E32" s="3"/>
      <c r="F32" s="3"/>
      <c r="G32" s="2"/>
      <c r="H32" s="6"/>
      <c r="I32" s="6"/>
      <c r="J32" s="2"/>
      <c r="K32" s="2"/>
      <c r="L32" s="3"/>
      <c r="M32" s="36" t="str">
        <f>IF(C32="","",SUMIFS(ERP!$I$9:$I$1008,ERP!$F$9:$F$1008,C32,ERP!$N$9:$N$1008,1))</f>
        <v/>
      </c>
      <c r="N32" s="37" t="str">
        <f t="shared" si="0"/>
        <v/>
      </c>
      <c r="O32" s="13">
        <f>IF(OR(C32="",NOT(ISNUMBER(Parametry!$G$10)),NOT(ISNUMBER(G32))),0,IF(OR(N32=0,YEAR(G32)&gt;Parametry!$G$6),0,IF(G32&lt;=Parametry!$G$10,Parametry!$G$7+1,MONTH(G32))))</f>
        <v>0</v>
      </c>
      <c r="P32" s="13">
        <f>IF(C32="",IF(COUNTA(D32:L32)&gt;0,1,0),IF(OR(COUNTIFS($C$9:$C$108,C32)&lt;&gt;1,COUNTIFS(Plan!$C$9:$C$38,D32)&lt;&gt;1,NOT(ISNUMBER(G32)),NOT(ISNUMBER(H32)),AND(I32&lt;&gt;"",NOT(ISNUMBER(I32))),SUM(H32:I32)&lt;0,L32=""),1,0))</f>
        <v>0</v>
      </c>
      <c r="Q32" s="7" t="str">
        <f t="shared" si="1"/>
        <v/>
      </c>
      <c r="R32" s="13" t="str">
        <f>IF(C32="","",IF(J32="","",IF(K32="","Brak terminu decyzji",IF(AND(ISNUMBER(Parametry!$G$10),K32&lt;=Parametry!$G$10+Parametry!$G$11),"Sprawdź odnowienie",""))))</f>
        <v/>
      </c>
      <c r="S32" s="7" t="str">
        <f t="shared" si="2"/>
        <v/>
      </c>
    </row>
    <row r="33" spans="1:19" ht="24" customHeight="1">
      <c r="A33" s="7"/>
      <c r="B33" s="7"/>
      <c r="C33" s="3"/>
      <c r="D33" s="3"/>
      <c r="E33" s="3"/>
      <c r="F33" s="3"/>
      <c r="G33" s="2"/>
      <c r="H33" s="6"/>
      <c r="I33" s="6"/>
      <c r="J33" s="2"/>
      <c r="K33" s="2"/>
      <c r="L33" s="3"/>
      <c r="M33" s="36" t="str">
        <f>IF(C33="","",SUMIFS(ERP!$I$9:$I$1008,ERP!$F$9:$F$1008,C33,ERP!$N$9:$N$1008,1))</f>
        <v/>
      </c>
      <c r="N33" s="37" t="str">
        <f t="shared" si="0"/>
        <v/>
      </c>
      <c r="O33" s="13">
        <f>IF(OR(C33="",NOT(ISNUMBER(Parametry!$G$10)),NOT(ISNUMBER(G33))),0,IF(OR(N33=0,YEAR(G33)&gt;Parametry!$G$6),0,IF(G33&lt;=Parametry!$G$10,Parametry!$G$7+1,MONTH(G33))))</f>
        <v>0</v>
      </c>
      <c r="P33" s="13">
        <f>IF(C33="",IF(COUNTA(D33:L33)&gt;0,1,0),IF(OR(COUNTIFS($C$9:$C$108,C33)&lt;&gt;1,COUNTIFS(Plan!$C$9:$C$38,D33)&lt;&gt;1,NOT(ISNUMBER(G33)),NOT(ISNUMBER(H33)),AND(I33&lt;&gt;"",NOT(ISNUMBER(I33))),SUM(H33:I33)&lt;0,L33=""),1,0))</f>
        <v>0</v>
      </c>
      <c r="Q33" s="7" t="str">
        <f t="shared" si="1"/>
        <v/>
      </c>
      <c r="R33" s="13" t="str">
        <f>IF(C33="","",IF(J33="","",IF(K33="","Brak terminu decyzji",IF(AND(ISNUMBER(Parametry!$G$10),K33&lt;=Parametry!$G$10+Parametry!$G$11),"Sprawdź odnowienie",""))))</f>
        <v/>
      </c>
      <c r="S33" s="7" t="str">
        <f t="shared" si="2"/>
        <v/>
      </c>
    </row>
    <row r="34" spans="1:19" ht="24" customHeight="1">
      <c r="A34" s="7"/>
      <c r="B34" s="7"/>
      <c r="C34" s="3"/>
      <c r="D34" s="3"/>
      <c r="E34" s="3"/>
      <c r="F34" s="3"/>
      <c r="G34" s="2"/>
      <c r="H34" s="6"/>
      <c r="I34" s="6"/>
      <c r="J34" s="2"/>
      <c r="K34" s="2"/>
      <c r="L34" s="3"/>
      <c r="M34" s="36" t="str">
        <f>IF(C34="","",SUMIFS(ERP!$I$9:$I$1008,ERP!$F$9:$F$1008,C34,ERP!$N$9:$N$1008,1))</f>
        <v/>
      </c>
      <c r="N34" s="37" t="str">
        <f t="shared" si="0"/>
        <v/>
      </c>
      <c r="O34" s="13">
        <f>IF(OR(C34="",NOT(ISNUMBER(Parametry!$G$10)),NOT(ISNUMBER(G34))),0,IF(OR(N34=0,YEAR(G34)&gt;Parametry!$G$6),0,IF(G34&lt;=Parametry!$G$10,Parametry!$G$7+1,MONTH(G34))))</f>
        <v>0</v>
      </c>
      <c r="P34" s="13">
        <f>IF(C34="",IF(COUNTA(D34:L34)&gt;0,1,0),IF(OR(COUNTIFS($C$9:$C$108,C34)&lt;&gt;1,COUNTIFS(Plan!$C$9:$C$38,D34)&lt;&gt;1,NOT(ISNUMBER(G34)),NOT(ISNUMBER(H34)),AND(I34&lt;&gt;"",NOT(ISNUMBER(I34))),SUM(H34:I34)&lt;0,L34=""),1,0))</f>
        <v>0</v>
      </c>
      <c r="Q34" s="7" t="str">
        <f t="shared" si="1"/>
        <v/>
      </c>
      <c r="R34" s="13" t="str">
        <f>IF(C34="","",IF(J34="","",IF(K34="","Brak terminu decyzji",IF(AND(ISNUMBER(Parametry!$G$10),K34&lt;=Parametry!$G$10+Parametry!$G$11),"Sprawdź odnowienie",""))))</f>
        <v/>
      </c>
      <c r="S34" s="7" t="str">
        <f t="shared" si="2"/>
        <v/>
      </c>
    </row>
    <row r="35" spans="1:19" ht="24" customHeight="1">
      <c r="A35" s="7"/>
      <c r="B35" s="7"/>
      <c r="C35" s="3"/>
      <c r="D35" s="3"/>
      <c r="E35" s="3"/>
      <c r="F35" s="3"/>
      <c r="G35" s="2"/>
      <c r="H35" s="6"/>
      <c r="I35" s="6"/>
      <c r="J35" s="2"/>
      <c r="K35" s="2"/>
      <c r="L35" s="3"/>
      <c r="M35" s="36" t="str">
        <f>IF(C35="","",SUMIFS(ERP!$I$9:$I$1008,ERP!$F$9:$F$1008,C35,ERP!$N$9:$N$1008,1))</f>
        <v/>
      </c>
      <c r="N35" s="37" t="str">
        <f t="shared" si="0"/>
        <v/>
      </c>
      <c r="O35" s="13">
        <f>IF(OR(C35="",NOT(ISNUMBER(Parametry!$G$10)),NOT(ISNUMBER(G35))),0,IF(OR(N35=0,YEAR(G35)&gt;Parametry!$G$6),0,IF(G35&lt;=Parametry!$G$10,Parametry!$G$7+1,MONTH(G35))))</f>
        <v>0</v>
      </c>
      <c r="P35" s="13">
        <f>IF(C35="",IF(COUNTA(D35:L35)&gt;0,1,0),IF(OR(COUNTIFS($C$9:$C$108,C35)&lt;&gt;1,COUNTIFS(Plan!$C$9:$C$38,D35)&lt;&gt;1,NOT(ISNUMBER(G35)),NOT(ISNUMBER(H35)),AND(I35&lt;&gt;"",NOT(ISNUMBER(I35))),SUM(H35:I35)&lt;0,L35=""),1,0))</f>
        <v>0</v>
      </c>
      <c r="Q35" s="7" t="str">
        <f t="shared" si="1"/>
        <v/>
      </c>
      <c r="R35" s="13" t="str">
        <f>IF(C35="","",IF(J35="","",IF(K35="","Brak terminu decyzji",IF(AND(ISNUMBER(Parametry!$G$10),K35&lt;=Parametry!$G$10+Parametry!$G$11),"Sprawdź odnowienie",""))))</f>
        <v/>
      </c>
      <c r="S35" s="7" t="str">
        <f t="shared" si="2"/>
        <v/>
      </c>
    </row>
    <row r="36" spans="1:19" ht="24" customHeight="1">
      <c r="A36" s="7"/>
      <c r="B36" s="7"/>
      <c r="C36" s="3"/>
      <c r="D36" s="3"/>
      <c r="E36" s="3"/>
      <c r="F36" s="3"/>
      <c r="G36" s="2"/>
      <c r="H36" s="6"/>
      <c r="I36" s="6"/>
      <c r="J36" s="2"/>
      <c r="K36" s="2"/>
      <c r="L36" s="3"/>
      <c r="M36" s="36" t="str">
        <f>IF(C36="","",SUMIFS(ERP!$I$9:$I$1008,ERP!$F$9:$F$1008,C36,ERP!$N$9:$N$1008,1))</f>
        <v/>
      </c>
      <c r="N36" s="37" t="str">
        <f t="shared" si="0"/>
        <v/>
      </c>
      <c r="O36" s="13">
        <f>IF(OR(C36="",NOT(ISNUMBER(Parametry!$G$10)),NOT(ISNUMBER(G36))),0,IF(OR(N36=0,YEAR(G36)&gt;Parametry!$G$6),0,IF(G36&lt;=Parametry!$G$10,Parametry!$G$7+1,MONTH(G36))))</f>
        <v>0</v>
      </c>
      <c r="P36" s="13">
        <f>IF(C36="",IF(COUNTA(D36:L36)&gt;0,1,0),IF(OR(COUNTIFS($C$9:$C$108,C36)&lt;&gt;1,COUNTIFS(Plan!$C$9:$C$38,D36)&lt;&gt;1,NOT(ISNUMBER(G36)),NOT(ISNUMBER(H36)),AND(I36&lt;&gt;"",NOT(ISNUMBER(I36))),SUM(H36:I36)&lt;0,L36=""),1,0))</f>
        <v>0</v>
      </c>
      <c r="Q36" s="7" t="str">
        <f t="shared" si="1"/>
        <v/>
      </c>
      <c r="R36" s="13" t="str">
        <f>IF(C36="","",IF(J36="","",IF(K36="","Brak terminu decyzji",IF(AND(ISNUMBER(Parametry!$G$10),K36&lt;=Parametry!$G$10+Parametry!$G$11),"Sprawdź odnowienie",""))))</f>
        <v/>
      </c>
      <c r="S36" s="7" t="str">
        <f t="shared" si="2"/>
        <v/>
      </c>
    </row>
    <row r="37" spans="1:19" ht="24" customHeight="1">
      <c r="A37" s="7"/>
      <c r="B37" s="7"/>
      <c r="C37" s="3"/>
      <c r="D37" s="3"/>
      <c r="E37" s="3"/>
      <c r="F37" s="3"/>
      <c r="G37" s="2"/>
      <c r="H37" s="6"/>
      <c r="I37" s="6"/>
      <c r="J37" s="2"/>
      <c r="K37" s="2"/>
      <c r="L37" s="3"/>
      <c r="M37" s="36" t="str">
        <f>IF(C37="","",SUMIFS(ERP!$I$9:$I$1008,ERP!$F$9:$F$1008,C37,ERP!$N$9:$N$1008,1))</f>
        <v/>
      </c>
      <c r="N37" s="37" t="str">
        <f t="shared" si="0"/>
        <v/>
      </c>
      <c r="O37" s="13">
        <f>IF(OR(C37="",NOT(ISNUMBER(Parametry!$G$10)),NOT(ISNUMBER(G37))),0,IF(OR(N37=0,YEAR(G37)&gt;Parametry!$G$6),0,IF(G37&lt;=Parametry!$G$10,Parametry!$G$7+1,MONTH(G37))))</f>
        <v>0</v>
      </c>
      <c r="P37" s="13">
        <f>IF(C37="",IF(COUNTA(D37:L37)&gt;0,1,0),IF(OR(COUNTIFS($C$9:$C$108,C37)&lt;&gt;1,COUNTIFS(Plan!$C$9:$C$38,D37)&lt;&gt;1,NOT(ISNUMBER(G37)),NOT(ISNUMBER(H37)),AND(I37&lt;&gt;"",NOT(ISNUMBER(I37))),SUM(H37:I37)&lt;0,L37=""),1,0))</f>
        <v>0</v>
      </c>
      <c r="Q37" s="7" t="str">
        <f t="shared" si="1"/>
        <v/>
      </c>
      <c r="R37" s="13" t="str">
        <f>IF(C37="","",IF(J37="","",IF(K37="","Brak terminu decyzji",IF(AND(ISNUMBER(Parametry!$G$10),K37&lt;=Parametry!$G$10+Parametry!$G$11),"Sprawdź odnowienie",""))))</f>
        <v/>
      </c>
      <c r="S37" s="7" t="str">
        <f t="shared" si="2"/>
        <v/>
      </c>
    </row>
    <row r="38" spans="1:19" ht="24" customHeight="1">
      <c r="A38" s="7"/>
      <c r="B38" s="7"/>
      <c r="C38" s="3"/>
      <c r="D38" s="3"/>
      <c r="E38" s="3"/>
      <c r="F38" s="3"/>
      <c r="G38" s="2"/>
      <c r="H38" s="6"/>
      <c r="I38" s="6"/>
      <c r="J38" s="2"/>
      <c r="K38" s="2"/>
      <c r="L38" s="3"/>
      <c r="M38" s="36" t="str">
        <f>IF(C38="","",SUMIFS(ERP!$I$9:$I$1008,ERP!$F$9:$F$1008,C38,ERP!$N$9:$N$1008,1))</f>
        <v/>
      </c>
      <c r="N38" s="37" t="str">
        <f t="shared" si="0"/>
        <v/>
      </c>
      <c r="O38" s="13">
        <f>IF(OR(C38="",NOT(ISNUMBER(Parametry!$G$10)),NOT(ISNUMBER(G38))),0,IF(OR(N38=0,YEAR(G38)&gt;Parametry!$G$6),0,IF(G38&lt;=Parametry!$G$10,Parametry!$G$7+1,MONTH(G38))))</f>
        <v>0</v>
      </c>
      <c r="P38" s="13">
        <f>IF(C38="",IF(COUNTA(D38:L38)&gt;0,1,0),IF(OR(COUNTIFS($C$9:$C$108,C38)&lt;&gt;1,COUNTIFS(Plan!$C$9:$C$38,D38)&lt;&gt;1,NOT(ISNUMBER(G38)),NOT(ISNUMBER(H38)),AND(I38&lt;&gt;"",NOT(ISNUMBER(I38))),SUM(H38:I38)&lt;0,L38=""),1,0))</f>
        <v>0</v>
      </c>
      <c r="Q38" s="7" t="str">
        <f t="shared" si="1"/>
        <v/>
      </c>
      <c r="R38" s="13" t="str">
        <f>IF(C38="","",IF(J38="","",IF(K38="","Brak terminu decyzji",IF(AND(ISNUMBER(Parametry!$G$10),K38&lt;=Parametry!$G$10+Parametry!$G$11),"Sprawdź odnowienie",""))))</f>
        <v/>
      </c>
      <c r="S38" s="7" t="str">
        <f t="shared" si="2"/>
        <v/>
      </c>
    </row>
    <row r="39" spans="1:19" ht="24" customHeight="1">
      <c r="A39" s="7"/>
      <c r="B39" s="7"/>
      <c r="C39" s="3"/>
      <c r="D39" s="3"/>
      <c r="E39" s="3"/>
      <c r="F39" s="3"/>
      <c r="G39" s="2"/>
      <c r="H39" s="6"/>
      <c r="I39" s="6"/>
      <c r="J39" s="2"/>
      <c r="K39" s="2"/>
      <c r="L39" s="3"/>
      <c r="M39" s="36" t="str">
        <f>IF(C39="","",SUMIFS(ERP!$I$9:$I$1008,ERP!$F$9:$F$1008,C39,ERP!$N$9:$N$1008,1))</f>
        <v/>
      </c>
      <c r="N39" s="37" t="str">
        <f t="shared" si="0"/>
        <v/>
      </c>
      <c r="O39" s="13">
        <f>IF(OR(C39="",NOT(ISNUMBER(Parametry!$G$10)),NOT(ISNUMBER(G39))),0,IF(OR(N39=0,YEAR(G39)&gt;Parametry!$G$6),0,IF(G39&lt;=Parametry!$G$10,Parametry!$G$7+1,MONTH(G39))))</f>
        <v>0</v>
      </c>
      <c r="P39" s="13">
        <f>IF(C39="",IF(COUNTA(D39:L39)&gt;0,1,0),IF(OR(COUNTIFS($C$9:$C$108,C39)&lt;&gt;1,COUNTIFS(Plan!$C$9:$C$38,D39)&lt;&gt;1,NOT(ISNUMBER(G39)),NOT(ISNUMBER(H39)),AND(I39&lt;&gt;"",NOT(ISNUMBER(I39))),SUM(H39:I39)&lt;0,L39=""),1,0))</f>
        <v>0</v>
      </c>
      <c r="Q39" s="7" t="str">
        <f t="shared" si="1"/>
        <v/>
      </c>
      <c r="R39" s="13" t="str">
        <f>IF(C39="","",IF(J39="","",IF(K39="","Brak terminu decyzji",IF(AND(ISNUMBER(Parametry!$G$10),K39&lt;=Parametry!$G$10+Parametry!$G$11),"Sprawdź odnowienie",""))))</f>
        <v/>
      </c>
      <c r="S39" s="7" t="str">
        <f t="shared" si="2"/>
        <v/>
      </c>
    </row>
    <row r="40" spans="1:19" ht="24" customHeight="1">
      <c r="A40" s="7"/>
      <c r="B40" s="7"/>
      <c r="C40" s="3"/>
      <c r="D40" s="3"/>
      <c r="E40" s="3"/>
      <c r="F40" s="3"/>
      <c r="G40" s="2"/>
      <c r="H40" s="6"/>
      <c r="I40" s="6"/>
      <c r="J40" s="2"/>
      <c r="K40" s="2"/>
      <c r="L40" s="3"/>
      <c r="M40" s="36" t="str">
        <f>IF(C40="","",SUMIFS(ERP!$I$9:$I$1008,ERP!$F$9:$F$1008,C40,ERP!$N$9:$N$1008,1))</f>
        <v/>
      </c>
      <c r="N40" s="37" t="str">
        <f t="shared" si="0"/>
        <v/>
      </c>
      <c r="O40" s="13">
        <f>IF(OR(C40="",NOT(ISNUMBER(Parametry!$G$10)),NOT(ISNUMBER(G40))),0,IF(OR(N40=0,YEAR(G40)&gt;Parametry!$G$6),0,IF(G40&lt;=Parametry!$G$10,Parametry!$G$7+1,MONTH(G40))))</f>
        <v>0</v>
      </c>
      <c r="P40" s="13">
        <f>IF(C40="",IF(COUNTA(D40:L40)&gt;0,1,0),IF(OR(COUNTIFS($C$9:$C$108,C40)&lt;&gt;1,COUNTIFS(Plan!$C$9:$C$38,D40)&lt;&gt;1,NOT(ISNUMBER(G40)),NOT(ISNUMBER(H40)),AND(I40&lt;&gt;"",NOT(ISNUMBER(I40))),SUM(H40:I40)&lt;0,L40=""),1,0))</f>
        <v>0</v>
      </c>
      <c r="Q40" s="7" t="str">
        <f t="shared" si="1"/>
        <v/>
      </c>
      <c r="R40" s="13" t="str">
        <f>IF(C40="","",IF(J40="","",IF(K40="","Brak terminu decyzji",IF(AND(ISNUMBER(Parametry!$G$10),K40&lt;=Parametry!$G$10+Parametry!$G$11),"Sprawdź odnowienie",""))))</f>
        <v/>
      </c>
      <c r="S40" s="7" t="str">
        <f t="shared" si="2"/>
        <v/>
      </c>
    </row>
    <row r="41" spans="1:19" ht="24" customHeight="1">
      <c r="A41" s="7"/>
      <c r="B41" s="7"/>
      <c r="C41" s="3"/>
      <c r="D41" s="3"/>
      <c r="E41" s="3"/>
      <c r="F41" s="3"/>
      <c r="G41" s="2"/>
      <c r="H41" s="6"/>
      <c r="I41" s="6"/>
      <c r="J41" s="2"/>
      <c r="K41" s="2"/>
      <c r="L41" s="3"/>
      <c r="M41" s="36" t="str">
        <f>IF(C41="","",SUMIFS(ERP!$I$9:$I$1008,ERP!$F$9:$F$1008,C41,ERP!$N$9:$N$1008,1))</f>
        <v/>
      </c>
      <c r="N41" s="37" t="str">
        <f t="shared" ref="N41:N72" si="3">IF(C41="","",MAX(0,SUM(H41:I41)-M41))</f>
        <v/>
      </c>
      <c r="O41" s="13">
        <f>IF(OR(C41="",NOT(ISNUMBER(Parametry!$G$10)),NOT(ISNUMBER(G41))),0,IF(OR(N41=0,YEAR(G41)&gt;Parametry!$G$6),0,IF(G41&lt;=Parametry!$G$10,Parametry!$G$7+1,MONTH(G41))))</f>
        <v>0</v>
      </c>
      <c r="P41" s="13">
        <f>IF(C41="",IF(COUNTA(D41:L41)&gt;0,1,0),IF(OR(COUNTIFS($C$9:$C$108,C41)&lt;&gt;1,COUNTIFS(Plan!$C$9:$C$38,D41)&lt;&gt;1,NOT(ISNUMBER(G41)),NOT(ISNUMBER(H41)),AND(I41&lt;&gt;"",NOT(ISNUMBER(I41))),SUM(H41:I41)&lt;0,L41=""),1,0))</f>
        <v>0</v>
      </c>
      <c r="Q41" s="7" t="str">
        <f t="shared" ref="Q41:Q72" si="4">IF(P41=0,"","Sprawdź ID, przypisanie, datę i kwotę")</f>
        <v/>
      </c>
      <c r="R41" s="13" t="str">
        <f>IF(C41="","",IF(J41="","",IF(K41="","Brak terminu decyzji",IF(AND(ISNUMBER(Parametry!$G$10),K41&lt;=Parametry!$G$10+Parametry!$G$11),"Sprawdź odnowienie",""))))</f>
        <v/>
      </c>
      <c r="S41" s="7" t="str">
        <f t="shared" ref="S41:S72" si="5">IF(C41="","",MAX(0,M41-SUM(H41:I41)))</f>
        <v/>
      </c>
    </row>
    <row r="42" spans="1:19" ht="24" customHeight="1">
      <c r="A42" s="7"/>
      <c r="B42" s="7"/>
      <c r="C42" s="3"/>
      <c r="D42" s="3"/>
      <c r="E42" s="3"/>
      <c r="F42" s="3"/>
      <c r="G42" s="2"/>
      <c r="H42" s="6"/>
      <c r="I42" s="6"/>
      <c r="J42" s="2"/>
      <c r="K42" s="2"/>
      <c r="L42" s="3"/>
      <c r="M42" s="36" t="str">
        <f>IF(C42="","",SUMIFS(ERP!$I$9:$I$1008,ERP!$F$9:$F$1008,C42,ERP!$N$9:$N$1008,1))</f>
        <v/>
      </c>
      <c r="N42" s="37" t="str">
        <f t="shared" si="3"/>
        <v/>
      </c>
      <c r="O42" s="13">
        <f>IF(OR(C42="",NOT(ISNUMBER(Parametry!$G$10)),NOT(ISNUMBER(G42))),0,IF(OR(N42=0,YEAR(G42)&gt;Parametry!$G$6),0,IF(G42&lt;=Parametry!$G$10,Parametry!$G$7+1,MONTH(G42))))</f>
        <v>0</v>
      </c>
      <c r="P42" s="13">
        <f>IF(C42="",IF(COUNTA(D42:L42)&gt;0,1,0),IF(OR(COUNTIFS($C$9:$C$108,C42)&lt;&gt;1,COUNTIFS(Plan!$C$9:$C$38,D42)&lt;&gt;1,NOT(ISNUMBER(G42)),NOT(ISNUMBER(H42)),AND(I42&lt;&gt;"",NOT(ISNUMBER(I42))),SUM(H42:I42)&lt;0,L42=""),1,0))</f>
        <v>0</v>
      </c>
      <c r="Q42" s="7" t="str">
        <f t="shared" si="4"/>
        <v/>
      </c>
      <c r="R42" s="13" t="str">
        <f>IF(C42="","",IF(J42="","",IF(K42="","Brak terminu decyzji",IF(AND(ISNUMBER(Parametry!$G$10),K42&lt;=Parametry!$G$10+Parametry!$G$11),"Sprawdź odnowienie",""))))</f>
        <v/>
      </c>
      <c r="S42" s="7" t="str">
        <f t="shared" si="5"/>
        <v/>
      </c>
    </row>
    <row r="43" spans="1:19" ht="24" customHeight="1">
      <c r="A43" s="7"/>
      <c r="B43" s="7"/>
      <c r="C43" s="3"/>
      <c r="D43" s="3"/>
      <c r="E43" s="3"/>
      <c r="F43" s="3"/>
      <c r="G43" s="2"/>
      <c r="H43" s="6"/>
      <c r="I43" s="6"/>
      <c r="J43" s="2"/>
      <c r="K43" s="2"/>
      <c r="L43" s="3"/>
      <c r="M43" s="36" t="str">
        <f>IF(C43="","",SUMIFS(ERP!$I$9:$I$1008,ERP!$F$9:$F$1008,C43,ERP!$N$9:$N$1008,1))</f>
        <v/>
      </c>
      <c r="N43" s="37" t="str">
        <f t="shared" si="3"/>
        <v/>
      </c>
      <c r="O43" s="13">
        <f>IF(OR(C43="",NOT(ISNUMBER(Parametry!$G$10)),NOT(ISNUMBER(G43))),0,IF(OR(N43=0,YEAR(G43)&gt;Parametry!$G$6),0,IF(G43&lt;=Parametry!$G$10,Parametry!$G$7+1,MONTH(G43))))</f>
        <v>0</v>
      </c>
      <c r="P43" s="13">
        <f>IF(C43="",IF(COUNTA(D43:L43)&gt;0,1,0),IF(OR(COUNTIFS($C$9:$C$108,C43)&lt;&gt;1,COUNTIFS(Plan!$C$9:$C$38,D43)&lt;&gt;1,NOT(ISNUMBER(G43)),NOT(ISNUMBER(H43)),AND(I43&lt;&gt;"",NOT(ISNUMBER(I43))),SUM(H43:I43)&lt;0,L43=""),1,0))</f>
        <v>0</v>
      </c>
      <c r="Q43" s="7" t="str">
        <f t="shared" si="4"/>
        <v/>
      </c>
      <c r="R43" s="13" t="str">
        <f>IF(C43="","",IF(J43="","",IF(K43="","Brak terminu decyzji",IF(AND(ISNUMBER(Parametry!$G$10),K43&lt;=Parametry!$G$10+Parametry!$G$11),"Sprawdź odnowienie",""))))</f>
        <v/>
      </c>
      <c r="S43" s="7" t="str">
        <f t="shared" si="5"/>
        <v/>
      </c>
    </row>
    <row r="44" spans="1:19" ht="24" customHeight="1">
      <c r="A44" s="7"/>
      <c r="B44" s="7"/>
      <c r="C44" s="3"/>
      <c r="D44" s="3"/>
      <c r="E44" s="3"/>
      <c r="F44" s="3"/>
      <c r="G44" s="2"/>
      <c r="H44" s="6"/>
      <c r="I44" s="6"/>
      <c r="J44" s="2"/>
      <c r="K44" s="2"/>
      <c r="L44" s="3"/>
      <c r="M44" s="36" t="str">
        <f>IF(C44="","",SUMIFS(ERP!$I$9:$I$1008,ERP!$F$9:$F$1008,C44,ERP!$N$9:$N$1008,1))</f>
        <v/>
      </c>
      <c r="N44" s="37" t="str">
        <f t="shared" si="3"/>
        <v/>
      </c>
      <c r="O44" s="13">
        <f>IF(OR(C44="",NOT(ISNUMBER(Parametry!$G$10)),NOT(ISNUMBER(G44))),0,IF(OR(N44=0,YEAR(G44)&gt;Parametry!$G$6),0,IF(G44&lt;=Parametry!$G$10,Parametry!$G$7+1,MONTH(G44))))</f>
        <v>0</v>
      </c>
      <c r="P44" s="13">
        <f>IF(C44="",IF(COUNTA(D44:L44)&gt;0,1,0),IF(OR(COUNTIFS($C$9:$C$108,C44)&lt;&gt;1,COUNTIFS(Plan!$C$9:$C$38,D44)&lt;&gt;1,NOT(ISNUMBER(G44)),NOT(ISNUMBER(H44)),AND(I44&lt;&gt;"",NOT(ISNUMBER(I44))),SUM(H44:I44)&lt;0,L44=""),1,0))</f>
        <v>0</v>
      </c>
      <c r="Q44" s="7" t="str">
        <f t="shared" si="4"/>
        <v/>
      </c>
      <c r="R44" s="13" t="str">
        <f>IF(C44="","",IF(J44="","",IF(K44="","Brak terminu decyzji",IF(AND(ISNUMBER(Parametry!$G$10),K44&lt;=Parametry!$G$10+Parametry!$G$11),"Sprawdź odnowienie",""))))</f>
        <v/>
      </c>
      <c r="S44" s="7" t="str">
        <f t="shared" si="5"/>
        <v/>
      </c>
    </row>
    <row r="45" spans="1:19" ht="24" customHeight="1">
      <c r="A45" s="7"/>
      <c r="B45" s="7"/>
      <c r="C45" s="3"/>
      <c r="D45" s="3"/>
      <c r="E45" s="3"/>
      <c r="F45" s="3"/>
      <c r="G45" s="2"/>
      <c r="H45" s="6"/>
      <c r="I45" s="6"/>
      <c r="J45" s="2"/>
      <c r="K45" s="2"/>
      <c r="L45" s="3"/>
      <c r="M45" s="36" t="str">
        <f>IF(C45="","",SUMIFS(ERP!$I$9:$I$1008,ERP!$F$9:$F$1008,C45,ERP!$N$9:$N$1008,1))</f>
        <v/>
      </c>
      <c r="N45" s="37" t="str">
        <f t="shared" si="3"/>
        <v/>
      </c>
      <c r="O45" s="13">
        <f>IF(OR(C45="",NOT(ISNUMBER(Parametry!$G$10)),NOT(ISNUMBER(G45))),0,IF(OR(N45=0,YEAR(G45)&gt;Parametry!$G$6),0,IF(G45&lt;=Parametry!$G$10,Parametry!$G$7+1,MONTH(G45))))</f>
        <v>0</v>
      </c>
      <c r="P45" s="13">
        <f>IF(C45="",IF(COUNTA(D45:L45)&gt;0,1,0),IF(OR(COUNTIFS($C$9:$C$108,C45)&lt;&gt;1,COUNTIFS(Plan!$C$9:$C$38,D45)&lt;&gt;1,NOT(ISNUMBER(G45)),NOT(ISNUMBER(H45)),AND(I45&lt;&gt;"",NOT(ISNUMBER(I45))),SUM(H45:I45)&lt;0,L45=""),1,0))</f>
        <v>0</v>
      </c>
      <c r="Q45" s="7" t="str">
        <f t="shared" si="4"/>
        <v/>
      </c>
      <c r="R45" s="13" t="str">
        <f>IF(C45="","",IF(J45="","",IF(K45="","Brak terminu decyzji",IF(AND(ISNUMBER(Parametry!$G$10),K45&lt;=Parametry!$G$10+Parametry!$G$11),"Sprawdź odnowienie",""))))</f>
        <v/>
      </c>
      <c r="S45" s="7" t="str">
        <f t="shared" si="5"/>
        <v/>
      </c>
    </row>
    <row r="46" spans="1:19" ht="24" customHeight="1">
      <c r="A46" s="7"/>
      <c r="B46" s="7"/>
      <c r="C46" s="3"/>
      <c r="D46" s="3"/>
      <c r="E46" s="3"/>
      <c r="F46" s="3"/>
      <c r="G46" s="2"/>
      <c r="H46" s="6"/>
      <c r="I46" s="6"/>
      <c r="J46" s="2"/>
      <c r="K46" s="2"/>
      <c r="L46" s="3"/>
      <c r="M46" s="36" t="str">
        <f>IF(C46="","",SUMIFS(ERP!$I$9:$I$1008,ERP!$F$9:$F$1008,C46,ERP!$N$9:$N$1008,1))</f>
        <v/>
      </c>
      <c r="N46" s="37" t="str">
        <f t="shared" si="3"/>
        <v/>
      </c>
      <c r="O46" s="13">
        <f>IF(OR(C46="",NOT(ISNUMBER(Parametry!$G$10)),NOT(ISNUMBER(G46))),0,IF(OR(N46=0,YEAR(G46)&gt;Parametry!$G$6),0,IF(G46&lt;=Parametry!$G$10,Parametry!$G$7+1,MONTH(G46))))</f>
        <v>0</v>
      </c>
      <c r="P46" s="13">
        <f>IF(C46="",IF(COUNTA(D46:L46)&gt;0,1,0),IF(OR(COUNTIFS($C$9:$C$108,C46)&lt;&gt;1,COUNTIFS(Plan!$C$9:$C$38,D46)&lt;&gt;1,NOT(ISNUMBER(G46)),NOT(ISNUMBER(H46)),AND(I46&lt;&gt;"",NOT(ISNUMBER(I46))),SUM(H46:I46)&lt;0,L46=""),1,0))</f>
        <v>0</v>
      </c>
      <c r="Q46" s="7" t="str">
        <f t="shared" si="4"/>
        <v/>
      </c>
      <c r="R46" s="13" t="str">
        <f>IF(C46="","",IF(J46="","",IF(K46="","Brak terminu decyzji",IF(AND(ISNUMBER(Parametry!$G$10),K46&lt;=Parametry!$G$10+Parametry!$G$11),"Sprawdź odnowienie",""))))</f>
        <v/>
      </c>
      <c r="S46" s="7" t="str">
        <f t="shared" si="5"/>
        <v/>
      </c>
    </row>
    <row r="47" spans="1:19" ht="24" customHeight="1">
      <c r="A47" s="7"/>
      <c r="B47" s="7"/>
      <c r="C47" s="3"/>
      <c r="D47" s="3"/>
      <c r="E47" s="3"/>
      <c r="F47" s="3"/>
      <c r="G47" s="2"/>
      <c r="H47" s="6"/>
      <c r="I47" s="6"/>
      <c r="J47" s="2"/>
      <c r="K47" s="2"/>
      <c r="L47" s="3"/>
      <c r="M47" s="36" t="str">
        <f>IF(C47="","",SUMIFS(ERP!$I$9:$I$1008,ERP!$F$9:$F$1008,C47,ERP!$N$9:$N$1008,1))</f>
        <v/>
      </c>
      <c r="N47" s="37" t="str">
        <f t="shared" si="3"/>
        <v/>
      </c>
      <c r="O47" s="13">
        <f>IF(OR(C47="",NOT(ISNUMBER(Parametry!$G$10)),NOT(ISNUMBER(G47))),0,IF(OR(N47=0,YEAR(G47)&gt;Parametry!$G$6),0,IF(G47&lt;=Parametry!$G$10,Parametry!$G$7+1,MONTH(G47))))</f>
        <v>0</v>
      </c>
      <c r="P47" s="13">
        <f>IF(C47="",IF(COUNTA(D47:L47)&gt;0,1,0),IF(OR(COUNTIFS($C$9:$C$108,C47)&lt;&gt;1,COUNTIFS(Plan!$C$9:$C$38,D47)&lt;&gt;1,NOT(ISNUMBER(G47)),NOT(ISNUMBER(H47)),AND(I47&lt;&gt;"",NOT(ISNUMBER(I47))),SUM(H47:I47)&lt;0,L47=""),1,0))</f>
        <v>0</v>
      </c>
      <c r="Q47" s="7" t="str">
        <f t="shared" si="4"/>
        <v/>
      </c>
      <c r="R47" s="13" t="str">
        <f>IF(C47="","",IF(J47="","",IF(K47="","Brak terminu decyzji",IF(AND(ISNUMBER(Parametry!$G$10),K47&lt;=Parametry!$G$10+Parametry!$G$11),"Sprawdź odnowienie",""))))</f>
        <v/>
      </c>
      <c r="S47" s="7" t="str">
        <f t="shared" si="5"/>
        <v/>
      </c>
    </row>
    <row r="48" spans="1:19" ht="24" customHeight="1">
      <c r="A48" s="7"/>
      <c r="B48" s="7"/>
      <c r="C48" s="3"/>
      <c r="D48" s="3"/>
      <c r="E48" s="3"/>
      <c r="F48" s="3"/>
      <c r="G48" s="2"/>
      <c r="H48" s="6"/>
      <c r="I48" s="6"/>
      <c r="J48" s="2"/>
      <c r="K48" s="2"/>
      <c r="L48" s="3"/>
      <c r="M48" s="36" t="str">
        <f>IF(C48="","",SUMIFS(ERP!$I$9:$I$1008,ERP!$F$9:$F$1008,C48,ERP!$N$9:$N$1008,1))</f>
        <v/>
      </c>
      <c r="N48" s="37" t="str">
        <f t="shared" si="3"/>
        <v/>
      </c>
      <c r="O48" s="13">
        <f>IF(OR(C48="",NOT(ISNUMBER(Parametry!$G$10)),NOT(ISNUMBER(G48))),0,IF(OR(N48=0,YEAR(G48)&gt;Parametry!$G$6),0,IF(G48&lt;=Parametry!$G$10,Parametry!$G$7+1,MONTH(G48))))</f>
        <v>0</v>
      </c>
      <c r="P48" s="13">
        <f>IF(C48="",IF(COUNTA(D48:L48)&gt;0,1,0),IF(OR(COUNTIFS($C$9:$C$108,C48)&lt;&gt;1,COUNTIFS(Plan!$C$9:$C$38,D48)&lt;&gt;1,NOT(ISNUMBER(G48)),NOT(ISNUMBER(H48)),AND(I48&lt;&gt;"",NOT(ISNUMBER(I48))),SUM(H48:I48)&lt;0,L48=""),1,0))</f>
        <v>0</v>
      </c>
      <c r="Q48" s="7" t="str">
        <f t="shared" si="4"/>
        <v/>
      </c>
      <c r="R48" s="13" t="str">
        <f>IF(C48="","",IF(J48="","",IF(K48="","Brak terminu decyzji",IF(AND(ISNUMBER(Parametry!$G$10),K48&lt;=Parametry!$G$10+Parametry!$G$11),"Sprawdź odnowienie",""))))</f>
        <v/>
      </c>
      <c r="S48" s="7" t="str">
        <f t="shared" si="5"/>
        <v/>
      </c>
    </row>
    <row r="49" spans="1:19" ht="24" customHeight="1">
      <c r="A49" s="7"/>
      <c r="B49" s="7"/>
      <c r="C49" s="3"/>
      <c r="D49" s="3"/>
      <c r="E49" s="3"/>
      <c r="F49" s="3"/>
      <c r="G49" s="2"/>
      <c r="H49" s="6"/>
      <c r="I49" s="6"/>
      <c r="J49" s="2"/>
      <c r="K49" s="2"/>
      <c r="L49" s="3"/>
      <c r="M49" s="36" t="str">
        <f>IF(C49="","",SUMIFS(ERP!$I$9:$I$1008,ERP!$F$9:$F$1008,C49,ERP!$N$9:$N$1008,1))</f>
        <v/>
      </c>
      <c r="N49" s="37" t="str">
        <f t="shared" si="3"/>
        <v/>
      </c>
      <c r="O49" s="13">
        <f>IF(OR(C49="",NOT(ISNUMBER(Parametry!$G$10)),NOT(ISNUMBER(G49))),0,IF(OR(N49=0,YEAR(G49)&gt;Parametry!$G$6),0,IF(G49&lt;=Parametry!$G$10,Parametry!$G$7+1,MONTH(G49))))</f>
        <v>0</v>
      </c>
      <c r="P49" s="13">
        <f>IF(C49="",IF(COUNTA(D49:L49)&gt;0,1,0),IF(OR(COUNTIFS($C$9:$C$108,C49)&lt;&gt;1,COUNTIFS(Plan!$C$9:$C$38,D49)&lt;&gt;1,NOT(ISNUMBER(G49)),NOT(ISNUMBER(H49)),AND(I49&lt;&gt;"",NOT(ISNUMBER(I49))),SUM(H49:I49)&lt;0,L49=""),1,0))</f>
        <v>0</v>
      </c>
      <c r="Q49" s="7" t="str">
        <f t="shared" si="4"/>
        <v/>
      </c>
      <c r="R49" s="13" t="str">
        <f>IF(C49="","",IF(J49="","",IF(K49="","Brak terminu decyzji",IF(AND(ISNUMBER(Parametry!$G$10),K49&lt;=Parametry!$G$10+Parametry!$G$11),"Sprawdź odnowienie",""))))</f>
        <v/>
      </c>
      <c r="S49" s="7" t="str">
        <f t="shared" si="5"/>
        <v/>
      </c>
    </row>
    <row r="50" spans="1:19" ht="24" customHeight="1">
      <c r="A50" s="7"/>
      <c r="B50" s="7"/>
      <c r="C50" s="3"/>
      <c r="D50" s="3"/>
      <c r="E50" s="3"/>
      <c r="F50" s="3"/>
      <c r="G50" s="2"/>
      <c r="H50" s="6"/>
      <c r="I50" s="6"/>
      <c r="J50" s="2"/>
      <c r="K50" s="2"/>
      <c r="L50" s="3"/>
      <c r="M50" s="36" t="str">
        <f>IF(C50="","",SUMIFS(ERP!$I$9:$I$1008,ERP!$F$9:$F$1008,C50,ERP!$N$9:$N$1008,1))</f>
        <v/>
      </c>
      <c r="N50" s="37" t="str">
        <f t="shared" si="3"/>
        <v/>
      </c>
      <c r="O50" s="13">
        <f>IF(OR(C50="",NOT(ISNUMBER(Parametry!$G$10)),NOT(ISNUMBER(G50))),0,IF(OR(N50=0,YEAR(G50)&gt;Parametry!$G$6),0,IF(G50&lt;=Parametry!$G$10,Parametry!$G$7+1,MONTH(G50))))</f>
        <v>0</v>
      </c>
      <c r="P50" s="13">
        <f>IF(C50="",IF(COUNTA(D50:L50)&gt;0,1,0),IF(OR(COUNTIFS($C$9:$C$108,C50)&lt;&gt;1,COUNTIFS(Plan!$C$9:$C$38,D50)&lt;&gt;1,NOT(ISNUMBER(G50)),NOT(ISNUMBER(H50)),AND(I50&lt;&gt;"",NOT(ISNUMBER(I50))),SUM(H50:I50)&lt;0,L50=""),1,0))</f>
        <v>0</v>
      </c>
      <c r="Q50" s="7" t="str">
        <f t="shared" si="4"/>
        <v/>
      </c>
      <c r="R50" s="13" t="str">
        <f>IF(C50="","",IF(J50="","",IF(K50="","Brak terminu decyzji",IF(AND(ISNUMBER(Parametry!$G$10),K50&lt;=Parametry!$G$10+Parametry!$G$11),"Sprawdź odnowienie",""))))</f>
        <v/>
      </c>
      <c r="S50" s="7" t="str">
        <f t="shared" si="5"/>
        <v/>
      </c>
    </row>
    <row r="51" spans="1:19" ht="24" customHeight="1">
      <c r="A51" s="7"/>
      <c r="B51" s="7"/>
      <c r="C51" s="3"/>
      <c r="D51" s="3"/>
      <c r="E51" s="3"/>
      <c r="F51" s="3"/>
      <c r="G51" s="2"/>
      <c r="H51" s="6"/>
      <c r="I51" s="6"/>
      <c r="J51" s="2"/>
      <c r="K51" s="2"/>
      <c r="L51" s="3"/>
      <c r="M51" s="36" t="str">
        <f>IF(C51="","",SUMIFS(ERP!$I$9:$I$1008,ERP!$F$9:$F$1008,C51,ERP!$N$9:$N$1008,1))</f>
        <v/>
      </c>
      <c r="N51" s="37" t="str">
        <f t="shared" si="3"/>
        <v/>
      </c>
      <c r="O51" s="13">
        <f>IF(OR(C51="",NOT(ISNUMBER(Parametry!$G$10)),NOT(ISNUMBER(G51))),0,IF(OR(N51=0,YEAR(G51)&gt;Parametry!$G$6),0,IF(G51&lt;=Parametry!$G$10,Parametry!$G$7+1,MONTH(G51))))</f>
        <v>0</v>
      </c>
      <c r="P51" s="13">
        <f>IF(C51="",IF(COUNTA(D51:L51)&gt;0,1,0),IF(OR(COUNTIFS($C$9:$C$108,C51)&lt;&gt;1,COUNTIFS(Plan!$C$9:$C$38,D51)&lt;&gt;1,NOT(ISNUMBER(G51)),NOT(ISNUMBER(H51)),AND(I51&lt;&gt;"",NOT(ISNUMBER(I51))),SUM(H51:I51)&lt;0,L51=""),1,0))</f>
        <v>0</v>
      </c>
      <c r="Q51" s="7" t="str">
        <f t="shared" si="4"/>
        <v/>
      </c>
      <c r="R51" s="13" t="str">
        <f>IF(C51="","",IF(J51="","",IF(K51="","Brak terminu decyzji",IF(AND(ISNUMBER(Parametry!$G$10),K51&lt;=Parametry!$G$10+Parametry!$G$11),"Sprawdź odnowienie",""))))</f>
        <v/>
      </c>
      <c r="S51" s="7" t="str">
        <f t="shared" si="5"/>
        <v/>
      </c>
    </row>
    <row r="52" spans="1:19" ht="24" customHeight="1">
      <c r="A52" s="7"/>
      <c r="B52" s="7"/>
      <c r="C52" s="3"/>
      <c r="D52" s="3"/>
      <c r="E52" s="3"/>
      <c r="F52" s="3"/>
      <c r="G52" s="2"/>
      <c r="H52" s="6"/>
      <c r="I52" s="6"/>
      <c r="J52" s="2"/>
      <c r="K52" s="2"/>
      <c r="L52" s="3"/>
      <c r="M52" s="36" t="str">
        <f>IF(C52="","",SUMIFS(ERP!$I$9:$I$1008,ERP!$F$9:$F$1008,C52,ERP!$N$9:$N$1008,1))</f>
        <v/>
      </c>
      <c r="N52" s="37" t="str">
        <f t="shared" si="3"/>
        <v/>
      </c>
      <c r="O52" s="13">
        <f>IF(OR(C52="",NOT(ISNUMBER(Parametry!$G$10)),NOT(ISNUMBER(G52))),0,IF(OR(N52=0,YEAR(G52)&gt;Parametry!$G$6),0,IF(G52&lt;=Parametry!$G$10,Parametry!$G$7+1,MONTH(G52))))</f>
        <v>0</v>
      </c>
      <c r="P52" s="13">
        <f>IF(C52="",IF(COUNTA(D52:L52)&gt;0,1,0),IF(OR(COUNTIFS($C$9:$C$108,C52)&lt;&gt;1,COUNTIFS(Plan!$C$9:$C$38,D52)&lt;&gt;1,NOT(ISNUMBER(G52)),NOT(ISNUMBER(H52)),AND(I52&lt;&gt;"",NOT(ISNUMBER(I52))),SUM(H52:I52)&lt;0,L52=""),1,0))</f>
        <v>0</v>
      </c>
      <c r="Q52" s="7" t="str">
        <f t="shared" si="4"/>
        <v/>
      </c>
      <c r="R52" s="13" t="str">
        <f>IF(C52="","",IF(J52="","",IF(K52="","Brak terminu decyzji",IF(AND(ISNUMBER(Parametry!$G$10),K52&lt;=Parametry!$G$10+Parametry!$G$11),"Sprawdź odnowienie",""))))</f>
        <v/>
      </c>
      <c r="S52" s="7" t="str">
        <f t="shared" si="5"/>
        <v/>
      </c>
    </row>
    <row r="53" spans="1:19" ht="24" customHeight="1">
      <c r="A53" s="7"/>
      <c r="B53" s="7"/>
      <c r="C53" s="3"/>
      <c r="D53" s="3"/>
      <c r="E53" s="3"/>
      <c r="F53" s="3"/>
      <c r="G53" s="2"/>
      <c r="H53" s="6"/>
      <c r="I53" s="6"/>
      <c r="J53" s="2"/>
      <c r="K53" s="2"/>
      <c r="L53" s="3"/>
      <c r="M53" s="36" t="str">
        <f>IF(C53="","",SUMIFS(ERP!$I$9:$I$1008,ERP!$F$9:$F$1008,C53,ERP!$N$9:$N$1008,1))</f>
        <v/>
      </c>
      <c r="N53" s="37" t="str">
        <f t="shared" si="3"/>
        <v/>
      </c>
      <c r="O53" s="13">
        <f>IF(OR(C53="",NOT(ISNUMBER(Parametry!$G$10)),NOT(ISNUMBER(G53))),0,IF(OR(N53=0,YEAR(G53)&gt;Parametry!$G$6),0,IF(G53&lt;=Parametry!$G$10,Parametry!$G$7+1,MONTH(G53))))</f>
        <v>0</v>
      </c>
      <c r="P53" s="13">
        <f>IF(C53="",IF(COUNTA(D53:L53)&gt;0,1,0),IF(OR(COUNTIFS($C$9:$C$108,C53)&lt;&gt;1,COUNTIFS(Plan!$C$9:$C$38,D53)&lt;&gt;1,NOT(ISNUMBER(G53)),NOT(ISNUMBER(H53)),AND(I53&lt;&gt;"",NOT(ISNUMBER(I53))),SUM(H53:I53)&lt;0,L53=""),1,0))</f>
        <v>0</v>
      </c>
      <c r="Q53" s="7" t="str">
        <f t="shared" si="4"/>
        <v/>
      </c>
      <c r="R53" s="13" t="str">
        <f>IF(C53="","",IF(J53="","",IF(K53="","Brak terminu decyzji",IF(AND(ISNUMBER(Parametry!$G$10),K53&lt;=Parametry!$G$10+Parametry!$G$11),"Sprawdź odnowienie",""))))</f>
        <v/>
      </c>
      <c r="S53" s="7" t="str">
        <f t="shared" si="5"/>
        <v/>
      </c>
    </row>
    <row r="54" spans="1:19" ht="24" customHeight="1">
      <c r="A54" s="7"/>
      <c r="B54" s="7"/>
      <c r="C54" s="3"/>
      <c r="D54" s="3"/>
      <c r="E54" s="3"/>
      <c r="F54" s="3"/>
      <c r="G54" s="2"/>
      <c r="H54" s="6"/>
      <c r="I54" s="6"/>
      <c r="J54" s="2"/>
      <c r="K54" s="2"/>
      <c r="L54" s="3"/>
      <c r="M54" s="36" t="str">
        <f>IF(C54="","",SUMIFS(ERP!$I$9:$I$1008,ERP!$F$9:$F$1008,C54,ERP!$N$9:$N$1008,1))</f>
        <v/>
      </c>
      <c r="N54" s="37" t="str">
        <f t="shared" si="3"/>
        <v/>
      </c>
      <c r="O54" s="13">
        <f>IF(OR(C54="",NOT(ISNUMBER(Parametry!$G$10)),NOT(ISNUMBER(G54))),0,IF(OR(N54=0,YEAR(G54)&gt;Parametry!$G$6),0,IF(G54&lt;=Parametry!$G$10,Parametry!$G$7+1,MONTH(G54))))</f>
        <v>0</v>
      </c>
      <c r="P54" s="13">
        <f>IF(C54="",IF(COUNTA(D54:L54)&gt;0,1,0),IF(OR(COUNTIFS($C$9:$C$108,C54)&lt;&gt;1,COUNTIFS(Plan!$C$9:$C$38,D54)&lt;&gt;1,NOT(ISNUMBER(G54)),NOT(ISNUMBER(H54)),AND(I54&lt;&gt;"",NOT(ISNUMBER(I54))),SUM(H54:I54)&lt;0,L54=""),1,0))</f>
        <v>0</v>
      </c>
      <c r="Q54" s="7" t="str">
        <f t="shared" si="4"/>
        <v/>
      </c>
      <c r="R54" s="13" t="str">
        <f>IF(C54="","",IF(J54="","",IF(K54="","Brak terminu decyzji",IF(AND(ISNUMBER(Parametry!$G$10),K54&lt;=Parametry!$G$10+Parametry!$G$11),"Sprawdź odnowienie",""))))</f>
        <v/>
      </c>
      <c r="S54" s="7" t="str">
        <f t="shared" si="5"/>
        <v/>
      </c>
    </row>
    <row r="55" spans="1:19" ht="24" customHeight="1">
      <c r="A55" s="7"/>
      <c r="B55" s="7"/>
      <c r="C55" s="3"/>
      <c r="D55" s="3"/>
      <c r="E55" s="3"/>
      <c r="F55" s="3"/>
      <c r="G55" s="2"/>
      <c r="H55" s="6"/>
      <c r="I55" s="6"/>
      <c r="J55" s="2"/>
      <c r="K55" s="2"/>
      <c r="L55" s="3"/>
      <c r="M55" s="36" t="str">
        <f>IF(C55="","",SUMIFS(ERP!$I$9:$I$1008,ERP!$F$9:$F$1008,C55,ERP!$N$9:$N$1008,1))</f>
        <v/>
      </c>
      <c r="N55" s="37" t="str">
        <f t="shared" si="3"/>
        <v/>
      </c>
      <c r="O55" s="13">
        <f>IF(OR(C55="",NOT(ISNUMBER(Parametry!$G$10)),NOT(ISNUMBER(G55))),0,IF(OR(N55=0,YEAR(G55)&gt;Parametry!$G$6),0,IF(G55&lt;=Parametry!$G$10,Parametry!$G$7+1,MONTH(G55))))</f>
        <v>0</v>
      </c>
      <c r="P55" s="13">
        <f>IF(C55="",IF(COUNTA(D55:L55)&gt;0,1,0),IF(OR(COUNTIFS($C$9:$C$108,C55)&lt;&gt;1,COUNTIFS(Plan!$C$9:$C$38,D55)&lt;&gt;1,NOT(ISNUMBER(G55)),NOT(ISNUMBER(H55)),AND(I55&lt;&gt;"",NOT(ISNUMBER(I55))),SUM(H55:I55)&lt;0,L55=""),1,0))</f>
        <v>0</v>
      </c>
      <c r="Q55" s="7" t="str">
        <f t="shared" si="4"/>
        <v/>
      </c>
      <c r="R55" s="13" t="str">
        <f>IF(C55="","",IF(J55="","",IF(K55="","Brak terminu decyzji",IF(AND(ISNUMBER(Parametry!$G$10),K55&lt;=Parametry!$G$10+Parametry!$G$11),"Sprawdź odnowienie",""))))</f>
        <v/>
      </c>
      <c r="S55" s="7" t="str">
        <f t="shared" si="5"/>
        <v/>
      </c>
    </row>
    <row r="56" spans="1:19" ht="24" customHeight="1">
      <c r="A56" s="7"/>
      <c r="B56" s="7"/>
      <c r="C56" s="3"/>
      <c r="D56" s="3"/>
      <c r="E56" s="3"/>
      <c r="F56" s="3"/>
      <c r="G56" s="2"/>
      <c r="H56" s="6"/>
      <c r="I56" s="6"/>
      <c r="J56" s="2"/>
      <c r="K56" s="2"/>
      <c r="L56" s="3"/>
      <c r="M56" s="36" t="str">
        <f>IF(C56="","",SUMIFS(ERP!$I$9:$I$1008,ERP!$F$9:$F$1008,C56,ERP!$N$9:$N$1008,1))</f>
        <v/>
      </c>
      <c r="N56" s="37" t="str">
        <f t="shared" si="3"/>
        <v/>
      </c>
      <c r="O56" s="13">
        <f>IF(OR(C56="",NOT(ISNUMBER(Parametry!$G$10)),NOT(ISNUMBER(G56))),0,IF(OR(N56=0,YEAR(G56)&gt;Parametry!$G$6),0,IF(G56&lt;=Parametry!$G$10,Parametry!$G$7+1,MONTH(G56))))</f>
        <v>0</v>
      </c>
      <c r="P56" s="13">
        <f>IF(C56="",IF(COUNTA(D56:L56)&gt;0,1,0),IF(OR(COUNTIFS($C$9:$C$108,C56)&lt;&gt;1,COUNTIFS(Plan!$C$9:$C$38,D56)&lt;&gt;1,NOT(ISNUMBER(G56)),NOT(ISNUMBER(H56)),AND(I56&lt;&gt;"",NOT(ISNUMBER(I56))),SUM(H56:I56)&lt;0,L56=""),1,0))</f>
        <v>0</v>
      </c>
      <c r="Q56" s="7" t="str">
        <f t="shared" si="4"/>
        <v/>
      </c>
      <c r="R56" s="13" t="str">
        <f>IF(C56="","",IF(J56="","",IF(K56="","Brak terminu decyzji",IF(AND(ISNUMBER(Parametry!$G$10),K56&lt;=Parametry!$G$10+Parametry!$G$11),"Sprawdź odnowienie",""))))</f>
        <v/>
      </c>
      <c r="S56" s="7" t="str">
        <f t="shared" si="5"/>
        <v/>
      </c>
    </row>
    <row r="57" spans="1:19" ht="24" customHeight="1">
      <c r="A57" s="7"/>
      <c r="B57" s="7"/>
      <c r="C57" s="3"/>
      <c r="D57" s="3"/>
      <c r="E57" s="3"/>
      <c r="F57" s="3"/>
      <c r="G57" s="2"/>
      <c r="H57" s="6"/>
      <c r="I57" s="6"/>
      <c r="J57" s="2"/>
      <c r="K57" s="2"/>
      <c r="L57" s="3"/>
      <c r="M57" s="36" t="str">
        <f>IF(C57="","",SUMIFS(ERP!$I$9:$I$1008,ERP!$F$9:$F$1008,C57,ERP!$N$9:$N$1008,1))</f>
        <v/>
      </c>
      <c r="N57" s="37" t="str">
        <f t="shared" si="3"/>
        <v/>
      </c>
      <c r="O57" s="13">
        <f>IF(OR(C57="",NOT(ISNUMBER(Parametry!$G$10)),NOT(ISNUMBER(G57))),0,IF(OR(N57=0,YEAR(G57)&gt;Parametry!$G$6),0,IF(G57&lt;=Parametry!$G$10,Parametry!$G$7+1,MONTH(G57))))</f>
        <v>0</v>
      </c>
      <c r="P57" s="13">
        <f>IF(C57="",IF(COUNTA(D57:L57)&gt;0,1,0),IF(OR(COUNTIFS($C$9:$C$108,C57)&lt;&gt;1,COUNTIFS(Plan!$C$9:$C$38,D57)&lt;&gt;1,NOT(ISNUMBER(G57)),NOT(ISNUMBER(H57)),AND(I57&lt;&gt;"",NOT(ISNUMBER(I57))),SUM(H57:I57)&lt;0,L57=""),1,0))</f>
        <v>0</v>
      </c>
      <c r="Q57" s="7" t="str">
        <f t="shared" si="4"/>
        <v/>
      </c>
      <c r="R57" s="13" t="str">
        <f>IF(C57="","",IF(J57="","",IF(K57="","Brak terminu decyzji",IF(AND(ISNUMBER(Parametry!$G$10),K57&lt;=Parametry!$G$10+Parametry!$G$11),"Sprawdź odnowienie",""))))</f>
        <v/>
      </c>
      <c r="S57" s="7" t="str">
        <f t="shared" si="5"/>
        <v/>
      </c>
    </row>
    <row r="58" spans="1:19" ht="24" customHeight="1">
      <c r="A58" s="7"/>
      <c r="B58" s="7"/>
      <c r="C58" s="3"/>
      <c r="D58" s="3"/>
      <c r="E58" s="3"/>
      <c r="F58" s="3"/>
      <c r="G58" s="2"/>
      <c r="H58" s="6"/>
      <c r="I58" s="6"/>
      <c r="J58" s="2"/>
      <c r="K58" s="2"/>
      <c r="L58" s="3"/>
      <c r="M58" s="36" t="str">
        <f>IF(C58="","",SUMIFS(ERP!$I$9:$I$1008,ERP!$F$9:$F$1008,C58,ERP!$N$9:$N$1008,1))</f>
        <v/>
      </c>
      <c r="N58" s="37" t="str">
        <f t="shared" si="3"/>
        <v/>
      </c>
      <c r="O58" s="13">
        <f>IF(OR(C58="",NOT(ISNUMBER(Parametry!$G$10)),NOT(ISNUMBER(G58))),0,IF(OR(N58=0,YEAR(G58)&gt;Parametry!$G$6),0,IF(G58&lt;=Parametry!$G$10,Parametry!$G$7+1,MONTH(G58))))</f>
        <v>0</v>
      </c>
      <c r="P58" s="13">
        <f>IF(C58="",IF(COUNTA(D58:L58)&gt;0,1,0),IF(OR(COUNTIFS($C$9:$C$108,C58)&lt;&gt;1,COUNTIFS(Plan!$C$9:$C$38,D58)&lt;&gt;1,NOT(ISNUMBER(G58)),NOT(ISNUMBER(H58)),AND(I58&lt;&gt;"",NOT(ISNUMBER(I58))),SUM(H58:I58)&lt;0,L58=""),1,0))</f>
        <v>0</v>
      </c>
      <c r="Q58" s="7" t="str">
        <f t="shared" si="4"/>
        <v/>
      </c>
      <c r="R58" s="13" t="str">
        <f>IF(C58="","",IF(J58="","",IF(K58="","Brak terminu decyzji",IF(AND(ISNUMBER(Parametry!$G$10),K58&lt;=Parametry!$G$10+Parametry!$G$11),"Sprawdź odnowienie",""))))</f>
        <v/>
      </c>
      <c r="S58" s="7" t="str">
        <f t="shared" si="5"/>
        <v/>
      </c>
    </row>
    <row r="59" spans="1:19" ht="24" customHeight="1">
      <c r="A59" s="7"/>
      <c r="B59" s="7"/>
      <c r="C59" s="3"/>
      <c r="D59" s="3"/>
      <c r="E59" s="3"/>
      <c r="F59" s="3"/>
      <c r="G59" s="2"/>
      <c r="H59" s="6"/>
      <c r="I59" s="6"/>
      <c r="J59" s="2"/>
      <c r="K59" s="2"/>
      <c r="L59" s="3"/>
      <c r="M59" s="36" t="str">
        <f>IF(C59="","",SUMIFS(ERP!$I$9:$I$1008,ERP!$F$9:$F$1008,C59,ERP!$N$9:$N$1008,1))</f>
        <v/>
      </c>
      <c r="N59" s="37" t="str">
        <f t="shared" si="3"/>
        <v/>
      </c>
      <c r="O59" s="13">
        <f>IF(OR(C59="",NOT(ISNUMBER(Parametry!$G$10)),NOT(ISNUMBER(G59))),0,IF(OR(N59=0,YEAR(G59)&gt;Parametry!$G$6),0,IF(G59&lt;=Parametry!$G$10,Parametry!$G$7+1,MONTH(G59))))</f>
        <v>0</v>
      </c>
      <c r="P59" s="13">
        <f>IF(C59="",IF(COUNTA(D59:L59)&gt;0,1,0),IF(OR(COUNTIFS($C$9:$C$108,C59)&lt;&gt;1,COUNTIFS(Plan!$C$9:$C$38,D59)&lt;&gt;1,NOT(ISNUMBER(G59)),NOT(ISNUMBER(H59)),AND(I59&lt;&gt;"",NOT(ISNUMBER(I59))),SUM(H59:I59)&lt;0,L59=""),1,0))</f>
        <v>0</v>
      </c>
      <c r="Q59" s="7" t="str">
        <f t="shared" si="4"/>
        <v/>
      </c>
      <c r="R59" s="13" t="str">
        <f>IF(C59="","",IF(J59="","",IF(K59="","Brak terminu decyzji",IF(AND(ISNUMBER(Parametry!$G$10),K59&lt;=Parametry!$G$10+Parametry!$G$11),"Sprawdź odnowienie",""))))</f>
        <v/>
      </c>
      <c r="S59" s="7" t="str">
        <f t="shared" si="5"/>
        <v/>
      </c>
    </row>
    <row r="60" spans="1:19" ht="24" customHeight="1">
      <c r="A60" s="7"/>
      <c r="B60" s="7"/>
      <c r="C60" s="3"/>
      <c r="D60" s="3"/>
      <c r="E60" s="3"/>
      <c r="F60" s="3"/>
      <c r="G60" s="2"/>
      <c r="H60" s="6"/>
      <c r="I60" s="6"/>
      <c r="J60" s="2"/>
      <c r="K60" s="2"/>
      <c r="L60" s="3"/>
      <c r="M60" s="36" t="str">
        <f>IF(C60="","",SUMIFS(ERP!$I$9:$I$1008,ERP!$F$9:$F$1008,C60,ERP!$N$9:$N$1008,1))</f>
        <v/>
      </c>
      <c r="N60" s="37" t="str">
        <f t="shared" si="3"/>
        <v/>
      </c>
      <c r="O60" s="13">
        <f>IF(OR(C60="",NOT(ISNUMBER(Parametry!$G$10)),NOT(ISNUMBER(G60))),0,IF(OR(N60=0,YEAR(G60)&gt;Parametry!$G$6),0,IF(G60&lt;=Parametry!$G$10,Parametry!$G$7+1,MONTH(G60))))</f>
        <v>0</v>
      </c>
      <c r="P60" s="13">
        <f>IF(C60="",IF(COUNTA(D60:L60)&gt;0,1,0),IF(OR(COUNTIFS($C$9:$C$108,C60)&lt;&gt;1,COUNTIFS(Plan!$C$9:$C$38,D60)&lt;&gt;1,NOT(ISNUMBER(G60)),NOT(ISNUMBER(H60)),AND(I60&lt;&gt;"",NOT(ISNUMBER(I60))),SUM(H60:I60)&lt;0,L60=""),1,0))</f>
        <v>0</v>
      </c>
      <c r="Q60" s="7" t="str">
        <f t="shared" si="4"/>
        <v/>
      </c>
      <c r="R60" s="13" t="str">
        <f>IF(C60="","",IF(J60="","",IF(K60="","Brak terminu decyzji",IF(AND(ISNUMBER(Parametry!$G$10),K60&lt;=Parametry!$G$10+Parametry!$G$11),"Sprawdź odnowienie",""))))</f>
        <v/>
      </c>
      <c r="S60" s="7" t="str">
        <f t="shared" si="5"/>
        <v/>
      </c>
    </row>
    <row r="61" spans="1:19" ht="24" customHeight="1">
      <c r="A61" s="7"/>
      <c r="B61" s="7"/>
      <c r="C61" s="3"/>
      <c r="D61" s="3"/>
      <c r="E61" s="3"/>
      <c r="F61" s="3"/>
      <c r="G61" s="2"/>
      <c r="H61" s="6"/>
      <c r="I61" s="6"/>
      <c r="J61" s="2"/>
      <c r="K61" s="2"/>
      <c r="L61" s="3"/>
      <c r="M61" s="36" t="str">
        <f>IF(C61="","",SUMIFS(ERP!$I$9:$I$1008,ERP!$F$9:$F$1008,C61,ERP!$N$9:$N$1008,1))</f>
        <v/>
      </c>
      <c r="N61" s="37" t="str">
        <f t="shared" si="3"/>
        <v/>
      </c>
      <c r="O61" s="13">
        <f>IF(OR(C61="",NOT(ISNUMBER(Parametry!$G$10)),NOT(ISNUMBER(G61))),0,IF(OR(N61=0,YEAR(G61)&gt;Parametry!$G$6),0,IF(G61&lt;=Parametry!$G$10,Parametry!$G$7+1,MONTH(G61))))</f>
        <v>0</v>
      </c>
      <c r="P61" s="13">
        <f>IF(C61="",IF(COUNTA(D61:L61)&gt;0,1,0),IF(OR(COUNTIFS($C$9:$C$108,C61)&lt;&gt;1,COUNTIFS(Plan!$C$9:$C$38,D61)&lt;&gt;1,NOT(ISNUMBER(G61)),NOT(ISNUMBER(H61)),AND(I61&lt;&gt;"",NOT(ISNUMBER(I61))),SUM(H61:I61)&lt;0,L61=""),1,0))</f>
        <v>0</v>
      </c>
      <c r="Q61" s="7" t="str">
        <f t="shared" si="4"/>
        <v/>
      </c>
      <c r="R61" s="13" t="str">
        <f>IF(C61="","",IF(J61="","",IF(K61="","Brak terminu decyzji",IF(AND(ISNUMBER(Parametry!$G$10),K61&lt;=Parametry!$G$10+Parametry!$G$11),"Sprawdź odnowienie",""))))</f>
        <v/>
      </c>
      <c r="S61" s="7" t="str">
        <f t="shared" si="5"/>
        <v/>
      </c>
    </row>
    <row r="62" spans="1:19" ht="24" customHeight="1">
      <c r="A62" s="7"/>
      <c r="B62" s="7"/>
      <c r="C62" s="3"/>
      <c r="D62" s="3"/>
      <c r="E62" s="3"/>
      <c r="F62" s="3"/>
      <c r="G62" s="2"/>
      <c r="H62" s="6"/>
      <c r="I62" s="6"/>
      <c r="J62" s="2"/>
      <c r="K62" s="2"/>
      <c r="L62" s="3"/>
      <c r="M62" s="36" t="str">
        <f>IF(C62="","",SUMIFS(ERP!$I$9:$I$1008,ERP!$F$9:$F$1008,C62,ERP!$N$9:$N$1008,1))</f>
        <v/>
      </c>
      <c r="N62" s="37" t="str">
        <f t="shared" si="3"/>
        <v/>
      </c>
      <c r="O62" s="13">
        <f>IF(OR(C62="",NOT(ISNUMBER(Parametry!$G$10)),NOT(ISNUMBER(G62))),0,IF(OR(N62=0,YEAR(G62)&gt;Parametry!$G$6),0,IF(G62&lt;=Parametry!$G$10,Parametry!$G$7+1,MONTH(G62))))</f>
        <v>0</v>
      </c>
      <c r="P62" s="13">
        <f>IF(C62="",IF(COUNTA(D62:L62)&gt;0,1,0),IF(OR(COUNTIFS($C$9:$C$108,C62)&lt;&gt;1,COUNTIFS(Plan!$C$9:$C$38,D62)&lt;&gt;1,NOT(ISNUMBER(G62)),NOT(ISNUMBER(H62)),AND(I62&lt;&gt;"",NOT(ISNUMBER(I62))),SUM(H62:I62)&lt;0,L62=""),1,0))</f>
        <v>0</v>
      </c>
      <c r="Q62" s="7" t="str">
        <f t="shared" si="4"/>
        <v/>
      </c>
      <c r="R62" s="13" t="str">
        <f>IF(C62="","",IF(J62="","",IF(K62="","Brak terminu decyzji",IF(AND(ISNUMBER(Parametry!$G$10),K62&lt;=Parametry!$G$10+Parametry!$G$11),"Sprawdź odnowienie",""))))</f>
        <v/>
      </c>
      <c r="S62" s="7" t="str">
        <f t="shared" si="5"/>
        <v/>
      </c>
    </row>
    <row r="63" spans="1:19" ht="24" customHeight="1">
      <c r="A63" s="7"/>
      <c r="B63" s="7"/>
      <c r="C63" s="3"/>
      <c r="D63" s="3"/>
      <c r="E63" s="3"/>
      <c r="F63" s="3"/>
      <c r="G63" s="2"/>
      <c r="H63" s="6"/>
      <c r="I63" s="6"/>
      <c r="J63" s="2"/>
      <c r="K63" s="2"/>
      <c r="L63" s="3"/>
      <c r="M63" s="36" t="str">
        <f>IF(C63="","",SUMIFS(ERP!$I$9:$I$1008,ERP!$F$9:$F$1008,C63,ERP!$N$9:$N$1008,1))</f>
        <v/>
      </c>
      <c r="N63" s="37" t="str">
        <f t="shared" si="3"/>
        <v/>
      </c>
      <c r="O63" s="13">
        <f>IF(OR(C63="",NOT(ISNUMBER(Parametry!$G$10)),NOT(ISNUMBER(G63))),0,IF(OR(N63=0,YEAR(G63)&gt;Parametry!$G$6),0,IF(G63&lt;=Parametry!$G$10,Parametry!$G$7+1,MONTH(G63))))</f>
        <v>0</v>
      </c>
      <c r="P63" s="13">
        <f>IF(C63="",IF(COUNTA(D63:L63)&gt;0,1,0),IF(OR(COUNTIFS($C$9:$C$108,C63)&lt;&gt;1,COUNTIFS(Plan!$C$9:$C$38,D63)&lt;&gt;1,NOT(ISNUMBER(G63)),NOT(ISNUMBER(H63)),AND(I63&lt;&gt;"",NOT(ISNUMBER(I63))),SUM(H63:I63)&lt;0,L63=""),1,0))</f>
        <v>0</v>
      </c>
      <c r="Q63" s="7" t="str">
        <f t="shared" si="4"/>
        <v/>
      </c>
      <c r="R63" s="13" t="str">
        <f>IF(C63="","",IF(J63="","",IF(K63="","Brak terminu decyzji",IF(AND(ISNUMBER(Parametry!$G$10),K63&lt;=Parametry!$G$10+Parametry!$G$11),"Sprawdź odnowienie",""))))</f>
        <v/>
      </c>
      <c r="S63" s="7" t="str">
        <f t="shared" si="5"/>
        <v/>
      </c>
    </row>
    <row r="64" spans="1:19" ht="24" customHeight="1">
      <c r="A64" s="7"/>
      <c r="B64" s="7"/>
      <c r="C64" s="3"/>
      <c r="D64" s="3"/>
      <c r="E64" s="3"/>
      <c r="F64" s="3"/>
      <c r="G64" s="2"/>
      <c r="H64" s="6"/>
      <c r="I64" s="6"/>
      <c r="J64" s="2"/>
      <c r="K64" s="2"/>
      <c r="L64" s="3"/>
      <c r="M64" s="36" t="str">
        <f>IF(C64="","",SUMIFS(ERP!$I$9:$I$1008,ERP!$F$9:$F$1008,C64,ERP!$N$9:$N$1008,1))</f>
        <v/>
      </c>
      <c r="N64" s="37" t="str">
        <f t="shared" si="3"/>
        <v/>
      </c>
      <c r="O64" s="13">
        <f>IF(OR(C64="",NOT(ISNUMBER(Parametry!$G$10)),NOT(ISNUMBER(G64))),0,IF(OR(N64=0,YEAR(G64)&gt;Parametry!$G$6),0,IF(G64&lt;=Parametry!$G$10,Parametry!$G$7+1,MONTH(G64))))</f>
        <v>0</v>
      </c>
      <c r="P64" s="13">
        <f>IF(C64="",IF(COUNTA(D64:L64)&gt;0,1,0),IF(OR(COUNTIFS($C$9:$C$108,C64)&lt;&gt;1,COUNTIFS(Plan!$C$9:$C$38,D64)&lt;&gt;1,NOT(ISNUMBER(G64)),NOT(ISNUMBER(H64)),AND(I64&lt;&gt;"",NOT(ISNUMBER(I64))),SUM(H64:I64)&lt;0,L64=""),1,0))</f>
        <v>0</v>
      </c>
      <c r="Q64" s="7" t="str">
        <f t="shared" si="4"/>
        <v/>
      </c>
      <c r="R64" s="13" t="str">
        <f>IF(C64="","",IF(J64="","",IF(K64="","Brak terminu decyzji",IF(AND(ISNUMBER(Parametry!$G$10),K64&lt;=Parametry!$G$10+Parametry!$G$11),"Sprawdź odnowienie",""))))</f>
        <v/>
      </c>
      <c r="S64" s="7" t="str">
        <f t="shared" si="5"/>
        <v/>
      </c>
    </row>
    <row r="65" spans="1:19" ht="24" customHeight="1">
      <c r="A65" s="7"/>
      <c r="B65" s="7"/>
      <c r="C65" s="3"/>
      <c r="D65" s="3"/>
      <c r="E65" s="3"/>
      <c r="F65" s="3"/>
      <c r="G65" s="2"/>
      <c r="H65" s="6"/>
      <c r="I65" s="6"/>
      <c r="J65" s="2"/>
      <c r="K65" s="2"/>
      <c r="L65" s="3"/>
      <c r="M65" s="36" t="str">
        <f>IF(C65="","",SUMIFS(ERP!$I$9:$I$1008,ERP!$F$9:$F$1008,C65,ERP!$N$9:$N$1008,1))</f>
        <v/>
      </c>
      <c r="N65" s="37" t="str">
        <f t="shared" si="3"/>
        <v/>
      </c>
      <c r="O65" s="13">
        <f>IF(OR(C65="",NOT(ISNUMBER(Parametry!$G$10)),NOT(ISNUMBER(G65))),0,IF(OR(N65=0,YEAR(G65)&gt;Parametry!$G$6),0,IF(G65&lt;=Parametry!$G$10,Parametry!$G$7+1,MONTH(G65))))</f>
        <v>0</v>
      </c>
      <c r="P65" s="13">
        <f>IF(C65="",IF(COUNTA(D65:L65)&gt;0,1,0),IF(OR(COUNTIFS($C$9:$C$108,C65)&lt;&gt;1,COUNTIFS(Plan!$C$9:$C$38,D65)&lt;&gt;1,NOT(ISNUMBER(G65)),NOT(ISNUMBER(H65)),AND(I65&lt;&gt;"",NOT(ISNUMBER(I65))),SUM(H65:I65)&lt;0,L65=""),1,0))</f>
        <v>0</v>
      </c>
      <c r="Q65" s="7" t="str">
        <f t="shared" si="4"/>
        <v/>
      </c>
      <c r="R65" s="13" t="str">
        <f>IF(C65="","",IF(J65="","",IF(K65="","Brak terminu decyzji",IF(AND(ISNUMBER(Parametry!$G$10),K65&lt;=Parametry!$G$10+Parametry!$G$11),"Sprawdź odnowienie",""))))</f>
        <v/>
      </c>
      <c r="S65" s="7" t="str">
        <f t="shared" si="5"/>
        <v/>
      </c>
    </row>
    <row r="66" spans="1:19" ht="24" customHeight="1">
      <c r="A66" s="7"/>
      <c r="B66" s="7"/>
      <c r="C66" s="3"/>
      <c r="D66" s="3"/>
      <c r="E66" s="3"/>
      <c r="F66" s="3"/>
      <c r="G66" s="2"/>
      <c r="H66" s="6"/>
      <c r="I66" s="6"/>
      <c r="J66" s="2"/>
      <c r="K66" s="2"/>
      <c r="L66" s="3"/>
      <c r="M66" s="36" t="str">
        <f>IF(C66="","",SUMIFS(ERP!$I$9:$I$1008,ERP!$F$9:$F$1008,C66,ERP!$N$9:$N$1008,1))</f>
        <v/>
      </c>
      <c r="N66" s="37" t="str">
        <f t="shared" si="3"/>
        <v/>
      </c>
      <c r="O66" s="13">
        <f>IF(OR(C66="",NOT(ISNUMBER(Parametry!$G$10)),NOT(ISNUMBER(G66))),0,IF(OR(N66=0,YEAR(G66)&gt;Parametry!$G$6),0,IF(G66&lt;=Parametry!$G$10,Parametry!$G$7+1,MONTH(G66))))</f>
        <v>0</v>
      </c>
      <c r="P66" s="13">
        <f>IF(C66="",IF(COUNTA(D66:L66)&gt;0,1,0),IF(OR(COUNTIFS($C$9:$C$108,C66)&lt;&gt;1,COUNTIFS(Plan!$C$9:$C$38,D66)&lt;&gt;1,NOT(ISNUMBER(G66)),NOT(ISNUMBER(H66)),AND(I66&lt;&gt;"",NOT(ISNUMBER(I66))),SUM(H66:I66)&lt;0,L66=""),1,0))</f>
        <v>0</v>
      </c>
      <c r="Q66" s="7" t="str">
        <f t="shared" si="4"/>
        <v/>
      </c>
      <c r="R66" s="13" t="str">
        <f>IF(C66="","",IF(J66="","",IF(K66="","Brak terminu decyzji",IF(AND(ISNUMBER(Parametry!$G$10),K66&lt;=Parametry!$G$10+Parametry!$G$11),"Sprawdź odnowienie",""))))</f>
        <v/>
      </c>
      <c r="S66" s="7" t="str">
        <f t="shared" si="5"/>
        <v/>
      </c>
    </row>
    <row r="67" spans="1:19" ht="24" customHeight="1">
      <c r="A67" s="7"/>
      <c r="B67" s="7"/>
      <c r="C67" s="3"/>
      <c r="D67" s="3"/>
      <c r="E67" s="3"/>
      <c r="F67" s="3"/>
      <c r="G67" s="2"/>
      <c r="H67" s="6"/>
      <c r="I67" s="6"/>
      <c r="J67" s="2"/>
      <c r="K67" s="2"/>
      <c r="L67" s="3"/>
      <c r="M67" s="36" t="str">
        <f>IF(C67="","",SUMIFS(ERP!$I$9:$I$1008,ERP!$F$9:$F$1008,C67,ERP!$N$9:$N$1008,1))</f>
        <v/>
      </c>
      <c r="N67" s="37" t="str">
        <f t="shared" si="3"/>
        <v/>
      </c>
      <c r="O67" s="13">
        <f>IF(OR(C67="",NOT(ISNUMBER(Parametry!$G$10)),NOT(ISNUMBER(G67))),0,IF(OR(N67=0,YEAR(G67)&gt;Parametry!$G$6),0,IF(G67&lt;=Parametry!$G$10,Parametry!$G$7+1,MONTH(G67))))</f>
        <v>0</v>
      </c>
      <c r="P67" s="13">
        <f>IF(C67="",IF(COUNTA(D67:L67)&gt;0,1,0),IF(OR(COUNTIFS($C$9:$C$108,C67)&lt;&gt;1,COUNTIFS(Plan!$C$9:$C$38,D67)&lt;&gt;1,NOT(ISNUMBER(G67)),NOT(ISNUMBER(H67)),AND(I67&lt;&gt;"",NOT(ISNUMBER(I67))),SUM(H67:I67)&lt;0,L67=""),1,0))</f>
        <v>0</v>
      </c>
      <c r="Q67" s="7" t="str">
        <f t="shared" si="4"/>
        <v/>
      </c>
      <c r="R67" s="13" t="str">
        <f>IF(C67="","",IF(J67="","",IF(K67="","Brak terminu decyzji",IF(AND(ISNUMBER(Parametry!$G$10),K67&lt;=Parametry!$G$10+Parametry!$G$11),"Sprawdź odnowienie",""))))</f>
        <v/>
      </c>
      <c r="S67" s="7" t="str">
        <f t="shared" si="5"/>
        <v/>
      </c>
    </row>
    <row r="68" spans="1:19" ht="24" customHeight="1">
      <c r="A68" s="7"/>
      <c r="B68" s="7"/>
      <c r="C68" s="3"/>
      <c r="D68" s="3"/>
      <c r="E68" s="3"/>
      <c r="F68" s="3"/>
      <c r="G68" s="2"/>
      <c r="H68" s="6"/>
      <c r="I68" s="6"/>
      <c r="J68" s="2"/>
      <c r="K68" s="2"/>
      <c r="L68" s="3"/>
      <c r="M68" s="36" t="str">
        <f>IF(C68="","",SUMIFS(ERP!$I$9:$I$1008,ERP!$F$9:$F$1008,C68,ERP!$N$9:$N$1008,1))</f>
        <v/>
      </c>
      <c r="N68" s="37" t="str">
        <f t="shared" si="3"/>
        <v/>
      </c>
      <c r="O68" s="13">
        <f>IF(OR(C68="",NOT(ISNUMBER(Parametry!$G$10)),NOT(ISNUMBER(G68))),0,IF(OR(N68=0,YEAR(G68)&gt;Parametry!$G$6),0,IF(G68&lt;=Parametry!$G$10,Parametry!$G$7+1,MONTH(G68))))</f>
        <v>0</v>
      </c>
      <c r="P68" s="13">
        <f>IF(C68="",IF(COUNTA(D68:L68)&gt;0,1,0),IF(OR(COUNTIFS($C$9:$C$108,C68)&lt;&gt;1,COUNTIFS(Plan!$C$9:$C$38,D68)&lt;&gt;1,NOT(ISNUMBER(G68)),NOT(ISNUMBER(H68)),AND(I68&lt;&gt;"",NOT(ISNUMBER(I68))),SUM(H68:I68)&lt;0,L68=""),1,0))</f>
        <v>0</v>
      </c>
      <c r="Q68" s="7" t="str">
        <f t="shared" si="4"/>
        <v/>
      </c>
      <c r="R68" s="13" t="str">
        <f>IF(C68="","",IF(J68="","",IF(K68="","Brak terminu decyzji",IF(AND(ISNUMBER(Parametry!$G$10),K68&lt;=Parametry!$G$10+Parametry!$G$11),"Sprawdź odnowienie",""))))</f>
        <v/>
      </c>
      <c r="S68" s="7" t="str">
        <f t="shared" si="5"/>
        <v/>
      </c>
    </row>
    <row r="69" spans="1:19" ht="24" customHeight="1">
      <c r="A69" s="7"/>
      <c r="B69" s="7"/>
      <c r="C69" s="3"/>
      <c r="D69" s="3"/>
      <c r="E69" s="3"/>
      <c r="F69" s="3"/>
      <c r="G69" s="2"/>
      <c r="H69" s="6"/>
      <c r="I69" s="6"/>
      <c r="J69" s="2"/>
      <c r="K69" s="2"/>
      <c r="L69" s="3"/>
      <c r="M69" s="36" t="str">
        <f>IF(C69="","",SUMIFS(ERP!$I$9:$I$1008,ERP!$F$9:$F$1008,C69,ERP!$N$9:$N$1008,1))</f>
        <v/>
      </c>
      <c r="N69" s="37" t="str">
        <f t="shared" si="3"/>
        <v/>
      </c>
      <c r="O69" s="13">
        <f>IF(OR(C69="",NOT(ISNUMBER(Parametry!$G$10)),NOT(ISNUMBER(G69))),0,IF(OR(N69=0,YEAR(G69)&gt;Parametry!$G$6),0,IF(G69&lt;=Parametry!$G$10,Parametry!$G$7+1,MONTH(G69))))</f>
        <v>0</v>
      </c>
      <c r="P69" s="13">
        <f>IF(C69="",IF(COUNTA(D69:L69)&gt;0,1,0),IF(OR(COUNTIFS($C$9:$C$108,C69)&lt;&gt;1,COUNTIFS(Plan!$C$9:$C$38,D69)&lt;&gt;1,NOT(ISNUMBER(G69)),NOT(ISNUMBER(H69)),AND(I69&lt;&gt;"",NOT(ISNUMBER(I69))),SUM(H69:I69)&lt;0,L69=""),1,0))</f>
        <v>0</v>
      </c>
      <c r="Q69" s="7" t="str">
        <f t="shared" si="4"/>
        <v/>
      </c>
      <c r="R69" s="13" t="str">
        <f>IF(C69="","",IF(J69="","",IF(K69="","Brak terminu decyzji",IF(AND(ISNUMBER(Parametry!$G$10),K69&lt;=Parametry!$G$10+Parametry!$G$11),"Sprawdź odnowienie",""))))</f>
        <v/>
      </c>
      <c r="S69" s="7" t="str">
        <f t="shared" si="5"/>
        <v/>
      </c>
    </row>
    <row r="70" spans="1:19" ht="24" customHeight="1">
      <c r="A70" s="7"/>
      <c r="B70" s="7"/>
      <c r="C70" s="3"/>
      <c r="D70" s="3"/>
      <c r="E70" s="3"/>
      <c r="F70" s="3"/>
      <c r="G70" s="2"/>
      <c r="H70" s="6"/>
      <c r="I70" s="6"/>
      <c r="J70" s="2"/>
      <c r="K70" s="2"/>
      <c r="L70" s="3"/>
      <c r="M70" s="36" t="str">
        <f>IF(C70="","",SUMIFS(ERP!$I$9:$I$1008,ERP!$F$9:$F$1008,C70,ERP!$N$9:$N$1008,1))</f>
        <v/>
      </c>
      <c r="N70" s="37" t="str">
        <f t="shared" si="3"/>
        <v/>
      </c>
      <c r="O70" s="13">
        <f>IF(OR(C70="",NOT(ISNUMBER(Parametry!$G$10)),NOT(ISNUMBER(G70))),0,IF(OR(N70=0,YEAR(G70)&gt;Parametry!$G$6),0,IF(G70&lt;=Parametry!$G$10,Parametry!$G$7+1,MONTH(G70))))</f>
        <v>0</v>
      </c>
      <c r="P70" s="13">
        <f>IF(C70="",IF(COUNTA(D70:L70)&gt;0,1,0),IF(OR(COUNTIFS($C$9:$C$108,C70)&lt;&gt;1,COUNTIFS(Plan!$C$9:$C$38,D70)&lt;&gt;1,NOT(ISNUMBER(G70)),NOT(ISNUMBER(H70)),AND(I70&lt;&gt;"",NOT(ISNUMBER(I70))),SUM(H70:I70)&lt;0,L70=""),1,0))</f>
        <v>0</v>
      </c>
      <c r="Q70" s="7" t="str">
        <f t="shared" si="4"/>
        <v/>
      </c>
      <c r="R70" s="13" t="str">
        <f>IF(C70="","",IF(J70="","",IF(K70="","Brak terminu decyzji",IF(AND(ISNUMBER(Parametry!$G$10),K70&lt;=Parametry!$G$10+Parametry!$G$11),"Sprawdź odnowienie",""))))</f>
        <v/>
      </c>
      <c r="S70" s="7" t="str">
        <f t="shared" si="5"/>
        <v/>
      </c>
    </row>
    <row r="71" spans="1:19" ht="24" customHeight="1">
      <c r="A71" s="7"/>
      <c r="B71" s="7"/>
      <c r="C71" s="3"/>
      <c r="D71" s="3"/>
      <c r="E71" s="3"/>
      <c r="F71" s="3"/>
      <c r="G71" s="2"/>
      <c r="H71" s="6"/>
      <c r="I71" s="6"/>
      <c r="J71" s="2"/>
      <c r="K71" s="2"/>
      <c r="L71" s="3"/>
      <c r="M71" s="36" t="str">
        <f>IF(C71="","",SUMIFS(ERP!$I$9:$I$1008,ERP!$F$9:$F$1008,C71,ERP!$N$9:$N$1008,1))</f>
        <v/>
      </c>
      <c r="N71" s="37" t="str">
        <f t="shared" si="3"/>
        <v/>
      </c>
      <c r="O71" s="13">
        <f>IF(OR(C71="",NOT(ISNUMBER(Parametry!$G$10)),NOT(ISNUMBER(G71))),0,IF(OR(N71=0,YEAR(G71)&gt;Parametry!$G$6),0,IF(G71&lt;=Parametry!$G$10,Parametry!$G$7+1,MONTH(G71))))</f>
        <v>0</v>
      </c>
      <c r="P71" s="13">
        <f>IF(C71="",IF(COUNTA(D71:L71)&gt;0,1,0),IF(OR(COUNTIFS($C$9:$C$108,C71)&lt;&gt;1,COUNTIFS(Plan!$C$9:$C$38,D71)&lt;&gt;1,NOT(ISNUMBER(G71)),NOT(ISNUMBER(H71)),AND(I71&lt;&gt;"",NOT(ISNUMBER(I71))),SUM(H71:I71)&lt;0,L71=""),1,0))</f>
        <v>0</v>
      </c>
      <c r="Q71" s="7" t="str">
        <f t="shared" si="4"/>
        <v/>
      </c>
      <c r="R71" s="13" t="str">
        <f>IF(C71="","",IF(J71="","",IF(K71="","Brak terminu decyzji",IF(AND(ISNUMBER(Parametry!$G$10),K71&lt;=Parametry!$G$10+Parametry!$G$11),"Sprawdź odnowienie",""))))</f>
        <v/>
      </c>
      <c r="S71" s="7" t="str">
        <f t="shared" si="5"/>
        <v/>
      </c>
    </row>
    <row r="72" spans="1:19" ht="24" customHeight="1">
      <c r="A72" s="7"/>
      <c r="B72" s="7"/>
      <c r="C72" s="3"/>
      <c r="D72" s="3"/>
      <c r="E72" s="3"/>
      <c r="F72" s="3"/>
      <c r="G72" s="2"/>
      <c r="H72" s="6"/>
      <c r="I72" s="6"/>
      <c r="J72" s="2"/>
      <c r="K72" s="2"/>
      <c r="L72" s="3"/>
      <c r="M72" s="36" t="str">
        <f>IF(C72="","",SUMIFS(ERP!$I$9:$I$1008,ERP!$F$9:$F$1008,C72,ERP!$N$9:$N$1008,1))</f>
        <v/>
      </c>
      <c r="N72" s="37" t="str">
        <f t="shared" si="3"/>
        <v/>
      </c>
      <c r="O72" s="13">
        <f>IF(OR(C72="",NOT(ISNUMBER(Parametry!$G$10)),NOT(ISNUMBER(G72))),0,IF(OR(N72=0,YEAR(G72)&gt;Parametry!$G$6),0,IF(G72&lt;=Parametry!$G$10,Parametry!$G$7+1,MONTH(G72))))</f>
        <v>0</v>
      </c>
      <c r="P72" s="13">
        <f>IF(C72="",IF(COUNTA(D72:L72)&gt;0,1,0),IF(OR(COUNTIFS($C$9:$C$108,C72)&lt;&gt;1,COUNTIFS(Plan!$C$9:$C$38,D72)&lt;&gt;1,NOT(ISNUMBER(G72)),NOT(ISNUMBER(H72)),AND(I72&lt;&gt;"",NOT(ISNUMBER(I72))),SUM(H72:I72)&lt;0,L72=""),1,0))</f>
        <v>0</v>
      </c>
      <c r="Q72" s="7" t="str">
        <f t="shared" si="4"/>
        <v/>
      </c>
      <c r="R72" s="13" t="str">
        <f>IF(C72="","",IF(J72="","",IF(K72="","Brak terminu decyzji",IF(AND(ISNUMBER(Parametry!$G$10),K72&lt;=Parametry!$G$10+Parametry!$G$11),"Sprawdź odnowienie",""))))</f>
        <v/>
      </c>
      <c r="S72" s="7" t="str">
        <f t="shared" si="5"/>
        <v/>
      </c>
    </row>
    <row r="73" spans="1:19" ht="24" customHeight="1">
      <c r="A73" s="7"/>
      <c r="B73" s="7"/>
      <c r="C73" s="3"/>
      <c r="D73" s="3"/>
      <c r="E73" s="3"/>
      <c r="F73" s="3"/>
      <c r="G73" s="2"/>
      <c r="H73" s="6"/>
      <c r="I73" s="6"/>
      <c r="J73" s="2"/>
      <c r="K73" s="2"/>
      <c r="L73" s="3"/>
      <c r="M73" s="36" t="str">
        <f>IF(C73="","",SUMIFS(ERP!$I$9:$I$1008,ERP!$F$9:$F$1008,C73,ERP!$N$9:$N$1008,1))</f>
        <v/>
      </c>
      <c r="N73" s="37" t="str">
        <f t="shared" ref="N73:N104" si="6">IF(C73="","",MAX(0,SUM(H73:I73)-M73))</f>
        <v/>
      </c>
      <c r="O73" s="13">
        <f>IF(OR(C73="",NOT(ISNUMBER(Parametry!$G$10)),NOT(ISNUMBER(G73))),0,IF(OR(N73=0,YEAR(G73)&gt;Parametry!$G$6),0,IF(G73&lt;=Parametry!$G$10,Parametry!$G$7+1,MONTH(G73))))</f>
        <v>0</v>
      </c>
      <c r="P73" s="13">
        <f>IF(C73="",IF(COUNTA(D73:L73)&gt;0,1,0),IF(OR(COUNTIFS($C$9:$C$108,C73)&lt;&gt;1,COUNTIFS(Plan!$C$9:$C$38,D73)&lt;&gt;1,NOT(ISNUMBER(G73)),NOT(ISNUMBER(H73)),AND(I73&lt;&gt;"",NOT(ISNUMBER(I73))),SUM(H73:I73)&lt;0,L73=""),1,0))</f>
        <v>0</v>
      </c>
      <c r="Q73" s="7" t="str">
        <f t="shared" ref="Q73:Q104" si="7">IF(P73=0,"","Sprawdź ID, przypisanie, datę i kwotę")</f>
        <v/>
      </c>
      <c r="R73" s="13" t="str">
        <f>IF(C73="","",IF(J73="","",IF(K73="","Brak terminu decyzji",IF(AND(ISNUMBER(Parametry!$G$10),K73&lt;=Parametry!$G$10+Parametry!$G$11),"Sprawdź odnowienie",""))))</f>
        <v/>
      </c>
      <c r="S73" s="7" t="str">
        <f t="shared" ref="S73:S108" si="8">IF(C73="","",MAX(0,M73-SUM(H73:I73)))</f>
        <v/>
      </c>
    </row>
    <row r="74" spans="1:19" ht="24" customHeight="1">
      <c r="A74" s="7"/>
      <c r="B74" s="7"/>
      <c r="C74" s="3"/>
      <c r="D74" s="3"/>
      <c r="E74" s="3"/>
      <c r="F74" s="3"/>
      <c r="G74" s="2"/>
      <c r="H74" s="6"/>
      <c r="I74" s="6"/>
      <c r="J74" s="2"/>
      <c r="K74" s="2"/>
      <c r="L74" s="3"/>
      <c r="M74" s="36" t="str">
        <f>IF(C74="","",SUMIFS(ERP!$I$9:$I$1008,ERP!$F$9:$F$1008,C74,ERP!$N$9:$N$1008,1))</f>
        <v/>
      </c>
      <c r="N74" s="37" t="str">
        <f t="shared" si="6"/>
        <v/>
      </c>
      <c r="O74" s="13">
        <f>IF(OR(C74="",NOT(ISNUMBER(Parametry!$G$10)),NOT(ISNUMBER(G74))),0,IF(OR(N74=0,YEAR(G74)&gt;Parametry!$G$6),0,IF(G74&lt;=Parametry!$G$10,Parametry!$G$7+1,MONTH(G74))))</f>
        <v>0</v>
      </c>
      <c r="P74" s="13">
        <f>IF(C74="",IF(COUNTA(D74:L74)&gt;0,1,0),IF(OR(COUNTIFS($C$9:$C$108,C74)&lt;&gt;1,COUNTIFS(Plan!$C$9:$C$38,D74)&lt;&gt;1,NOT(ISNUMBER(G74)),NOT(ISNUMBER(H74)),AND(I74&lt;&gt;"",NOT(ISNUMBER(I74))),SUM(H74:I74)&lt;0,L74=""),1,0))</f>
        <v>0</v>
      </c>
      <c r="Q74" s="7" t="str">
        <f t="shared" si="7"/>
        <v/>
      </c>
      <c r="R74" s="13" t="str">
        <f>IF(C74="","",IF(J74="","",IF(K74="","Brak terminu decyzji",IF(AND(ISNUMBER(Parametry!$G$10),K74&lt;=Parametry!$G$10+Parametry!$G$11),"Sprawdź odnowienie",""))))</f>
        <v/>
      </c>
      <c r="S74" s="7" t="str">
        <f t="shared" si="8"/>
        <v/>
      </c>
    </row>
    <row r="75" spans="1:19" ht="24" customHeight="1">
      <c r="A75" s="7"/>
      <c r="B75" s="7"/>
      <c r="C75" s="3"/>
      <c r="D75" s="3"/>
      <c r="E75" s="3"/>
      <c r="F75" s="3"/>
      <c r="G75" s="2"/>
      <c r="H75" s="6"/>
      <c r="I75" s="6"/>
      <c r="J75" s="2"/>
      <c r="K75" s="2"/>
      <c r="L75" s="3"/>
      <c r="M75" s="36" t="str">
        <f>IF(C75="","",SUMIFS(ERP!$I$9:$I$1008,ERP!$F$9:$F$1008,C75,ERP!$N$9:$N$1008,1))</f>
        <v/>
      </c>
      <c r="N75" s="37" t="str">
        <f t="shared" si="6"/>
        <v/>
      </c>
      <c r="O75" s="13">
        <f>IF(OR(C75="",NOT(ISNUMBER(Parametry!$G$10)),NOT(ISNUMBER(G75))),0,IF(OR(N75=0,YEAR(G75)&gt;Parametry!$G$6),0,IF(G75&lt;=Parametry!$G$10,Parametry!$G$7+1,MONTH(G75))))</f>
        <v>0</v>
      </c>
      <c r="P75" s="13">
        <f>IF(C75="",IF(COUNTA(D75:L75)&gt;0,1,0),IF(OR(COUNTIFS($C$9:$C$108,C75)&lt;&gt;1,COUNTIFS(Plan!$C$9:$C$38,D75)&lt;&gt;1,NOT(ISNUMBER(G75)),NOT(ISNUMBER(H75)),AND(I75&lt;&gt;"",NOT(ISNUMBER(I75))),SUM(H75:I75)&lt;0,L75=""),1,0))</f>
        <v>0</v>
      </c>
      <c r="Q75" s="7" t="str">
        <f t="shared" si="7"/>
        <v/>
      </c>
      <c r="R75" s="13" t="str">
        <f>IF(C75="","",IF(J75="","",IF(K75="","Brak terminu decyzji",IF(AND(ISNUMBER(Parametry!$G$10),K75&lt;=Parametry!$G$10+Parametry!$G$11),"Sprawdź odnowienie",""))))</f>
        <v/>
      </c>
      <c r="S75" s="7" t="str">
        <f t="shared" si="8"/>
        <v/>
      </c>
    </row>
    <row r="76" spans="1:19" ht="24" customHeight="1">
      <c r="A76" s="7"/>
      <c r="B76" s="7"/>
      <c r="C76" s="3"/>
      <c r="D76" s="3"/>
      <c r="E76" s="3"/>
      <c r="F76" s="3"/>
      <c r="G76" s="2"/>
      <c r="H76" s="6"/>
      <c r="I76" s="6"/>
      <c r="J76" s="2"/>
      <c r="K76" s="2"/>
      <c r="L76" s="3"/>
      <c r="M76" s="36" t="str">
        <f>IF(C76="","",SUMIFS(ERP!$I$9:$I$1008,ERP!$F$9:$F$1008,C76,ERP!$N$9:$N$1008,1))</f>
        <v/>
      </c>
      <c r="N76" s="37" t="str">
        <f t="shared" si="6"/>
        <v/>
      </c>
      <c r="O76" s="13">
        <f>IF(OR(C76="",NOT(ISNUMBER(Parametry!$G$10)),NOT(ISNUMBER(G76))),0,IF(OR(N76=0,YEAR(G76)&gt;Parametry!$G$6),0,IF(G76&lt;=Parametry!$G$10,Parametry!$G$7+1,MONTH(G76))))</f>
        <v>0</v>
      </c>
      <c r="P76" s="13">
        <f>IF(C76="",IF(COUNTA(D76:L76)&gt;0,1,0),IF(OR(COUNTIFS($C$9:$C$108,C76)&lt;&gt;1,COUNTIFS(Plan!$C$9:$C$38,D76)&lt;&gt;1,NOT(ISNUMBER(G76)),NOT(ISNUMBER(H76)),AND(I76&lt;&gt;"",NOT(ISNUMBER(I76))),SUM(H76:I76)&lt;0,L76=""),1,0))</f>
        <v>0</v>
      </c>
      <c r="Q76" s="7" t="str">
        <f t="shared" si="7"/>
        <v/>
      </c>
      <c r="R76" s="13" t="str">
        <f>IF(C76="","",IF(J76="","",IF(K76="","Brak terminu decyzji",IF(AND(ISNUMBER(Parametry!$G$10),K76&lt;=Parametry!$G$10+Parametry!$G$11),"Sprawdź odnowienie",""))))</f>
        <v/>
      </c>
      <c r="S76" s="7" t="str">
        <f t="shared" si="8"/>
        <v/>
      </c>
    </row>
    <row r="77" spans="1:19" ht="24" customHeight="1">
      <c r="A77" s="7"/>
      <c r="B77" s="7"/>
      <c r="C77" s="3"/>
      <c r="D77" s="3"/>
      <c r="E77" s="3"/>
      <c r="F77" s="3"/>
      <c r="G77" s="2"/>
      <c r="H77" s="6"/>
      <c r="I77" s="6"/>
      <c r="J77" s="2"/>
      <c r="K77" s="2"/>
      <c r="L77" s="3"/>
      <c r="M77" s="36" t="str">
        <f>IF(C77="","",SUMIFS(ERP!$I$9:$I$1008,ERP!$F$9:$F$1008,C77,ERP!$N$9:$N$1008,1))</f>
        <v/>
      </c>
      <c r="N77" s="37" t="str">
        <f t="shared" si="6"/>
        <v/>
      </c>
      <c r="O77" s="13">
        <f>IF(OR(C77="",NOT(ISNUMBER(Parametry!$G$10)),NOT(ISNUMBER(G77))),0,IF(OR(N77=0,YEAR(G77)&gt;Parametry!$G$6),0,IF(G77&lt;=Parametry!$G$10,Parametry!$G$7+1,MONTH(G77))))</f>
        <v>0</v>
      </c>
      <c r="P77" s="13">
        <f>IF(C77="",IF(COUNTA(D77:L77)&gt;0,1,0),IF(OR(COUNTIFS($C$9:$C$108,C77)&lt;&gt;1,COUNTIFS(Plan!$C$9:$C$38,D77)&lt;&gt;1,NOT(ISNUMBER(G77)),NOT(ISNUMBER(H77)),AND(I77&lt;&gt;"",NOT(ISNUMBER(I77))),SUM(H77:I77)&lt;0,L77=""),1,0))</f>
        <v>0</v>
      </c>
      <c r="Q77" s="7" t="str">
        <f t="shared" si="7"/>
        <v/>
      </c>
      <c r="R77" s="13" t="str">
        <f>IF(C77="","",IF(J77="","",IF(K77="","Brak terminu decyzji",IF(AND(ISNUMBER(Parametry!$G$10),K77&lt;=Parametry!$G$10+Parametry!$G$11),"Sprawdź odnowienie",""))))</f>
        <v/>
      </c>
      <c r="S77" s="7" t="str">
        <f t="shared" si="8"/>
        <v/>
      </c>
    </row>
    <row r="78" spans="1:19" ht="24" customHeight="1">
      <c r="A78" s="7"/>
      <c r="B78" s="7"/>
      <c r="C78" s="3"/>
      <c r="D78" s="3"/>
      <c r="E78" s="3"/>
      <c r="F78" s="3"/>
      <c r="G78" s="2"/>
      <c r="H78" s="6"/>
      <c r="I78" s="6"/>
      <c r="J78" s="2"/>
      <c r="K78" s="2"/>
      <c r="L78" s="3"/>
      <c r="M78" s="36" t="str">
        <f>IF(C78="","",SUMIFS(ERP!$I$9:$I$1008,ERP!$F$9:$F$1008,C78,ERP!$N$9:$N$1008,1))</f>
        <v/>
      </c>
      <c r="N78" s="37" t="str">
        <f t="shared" si="6"/>
        <v/>
      </c>
      <c r="O78" s="13">
        <f>IF(OR(C78="",NOT(ISNUMBER(Parametry!$G$10)),NOT(ISNUMBER(G78))),0,IF(OR(N78=0,YEAR(G78)&gt;Parametry!$G$6),0,IF(G78&lt;=Parametry!$G$10,Parametry!$G$7+1,MONTH(G78))))</f>
        <v>0</v>
      </c>
      <c r="P78" s="13">
        <f>IF(C78="",IF(COUNTA(D78:L78)&gt;0,1,0),IF(OR(COUNTIFS($C$9:$C$108,C78)&lt;&gt;1,COUNTIFS(Plan!$C$9:$C$38,D78)&lt;&gt;1,NOT(ISNUMBER(G78)),NOT(ISNUMBER(H78)),AND(I78&lt;&gt;"",NOT(ISNUMBER(I78))),SUM(H78:I78)&lt;0,L78=""),1,0))</f>
        <v>0</v>
      </c>
      <c r="Q78" s="7" t="str">
        <f t="shared" si="7"/>
        <v/>
      </c>
      <c r="R78" s="13" t="str">
        <f>IF(C78="","",IF(J78="","",IF(K78="","Brak terminu decyzji",IF(AND(ISNUMBER(Parametry!$G$10),K78&lt;=Parametry!$G$10+Parametry!$G$11),"Sprawdź odnowienie",""))))</f>
        <v/>
      </c>
      <c r="S78" s="7" t="str">
        <f t="shared" si="8"/>
        <v/>
      </c>
    </row>
    <row r="79" spans="1:19" ht="24" customHeight="1">
      <c r="A79" s="7"/>
      <c r="B79" s="7"/>
      <c r="C79" s="3"/>
      <c r="D79" s="3"/>
      <c r="E79" s="3"/>
      <c r="F79" s="3"/>
      <c r="G79" s="2"/>
      <c r="H79" s="6"/>
      <c r="I79" s="6"/>
      <c r="J79" s="2"/>
      <c r="K79" s="2"/>
      <c r="L79" s="3"/>
      <c r="M79" s="36" t="str">
        <f>IF(C79="","",SUMIFS(ERP!$I$9:$I$1008,ERP!$F$9:$F$1008,C79,ERP!$N$9:$N$1008,1))</f>
        <v/>
      </c>
      <c r="N79" s="37" t="str">
        <f t="shared" si="6"/>
        <v/>
      </c>
      <c r="O79" s="13">
        <f>IF(OR(C79="",NOT(ISNUMBER(Parametry!$G$10)),NOT(ISNUMBER(G79))),0,IF(OR(N79=0,YEAR(G79)&gt;Parametry!$G$6),0,IF(G79&lt;=Parametry!$G$10,Parametry!$G$7+1,MONTH(G79))))</f>
        <v>0</v>
      </c>
      <c r="P79" s="13">
        <f>IF(C79="",IF(COUNTA(D79:L79)&gt;0,1,0),IF(OR(COUNTIFS($C$9:$C$108,C79)&lt;&gt;1,COUNTIFS(Plan!$C$9:$C$38,D79)&lt;&gt;1,NOT(ISNUMBER(G79)),NOT(ISNUMBER(H79)),AND(I79&lt;&gt;"",NOT(ISNUMBER(I79))),SUM(H79:I79)&lt;0,L79=""),1,0))</f>
        <v>0</v>
      </c>
      <c r="Q79" s="7" t="str">
        <f t="shared" si="7"/>
        <v/>
      </c>
      <c r="R79" s="13" t="str">
        <f>IF(C79="","",IF(J79="","",IF(K79="","Brak terminu decyzji",IF(AND(ISNUMBER(Parametry!$G$10),K79&lt;=Parametry!$G$10+Parametry!$G$11),"Sprawdź odnowienie",""))))</f>
        <v/>
      </c>
      <c r="S79" s="7" t="str">
        <f t="shared" si="8"/>
        <v/>
      </c>
    </row>
    <row r="80" spans="1:19" ht="24" customHeight="1">
      <c r="A80" s="7"/>
      <c r="B80" s="7"/>
      <c r="C80" s="3"/>
      <c r="D80" s="3"/>
      <c r="E80" s="3"/>
      <c r="F80" s="3"/>
      <c r="G80" s="2"/>
      <c r="H80" s="6"/>
      <c r="I80" s="6"/>
      <c r="J80" s="2"/>
      <c r="K80" s="2"/>
      <c r="L80" s="3"/>
      <c r="M80" s="36" t="str">
        <f>IF(C80="","",SUMIFS(ERP!$I$9:$I$1008,ERP!$F$9:$F$1008,C80,ERP!$N$9:$N$1008,1))</f>
        <v/>
      </c>
      <c r="N80" s="37" t="str">
        <f t="shared" si="6"/>
        <v/>
      </c>
      <c r="O80" s="13">
        <f>IF(OR(C80="",NOT(ISNUMBER(Parametry!$G$10)),NOT(ISNUMBER(G80))),0,IF(OR(N80=0,YEAR(G80)&gt;Parametry!$G$6),0,IF(G80&lt;=Parametry!$G$10,Parametry!$G$7+1,MONTH(G80))))</f>
        <v>0</v>
      </c>
      <c r="P80" s="13">
        <f>IF(C80="",IF(COUNTA(D80:L80)&gt;0,1,0),IF(OR(COUNTIFS($C$9:$C$108,C80)&lt;&gt;1,COUNTIFS(Plan!$C$9:$C$38,D80)&lt;&gt;1,NOT(ISNUMBER(G80)),NOT(ISNUMBER(H80)),AND(I80&lt;&gt;"",NOT(ISNUMBER(I80))),SUM(H80:I80)&lt;0,L80=""),1,0))</f>
        <v>0</v>
      </c>
      <c r="Q80" s="7" t="str">
        <f t="shared" si="7"/>
        <v/>
      </c>
      <c r="R80" s="13" t="str">
        <f>IF(C80="","",IF(J80="","",IF(K80="","Brak terminu decyzji",IF(AND(ISNUMBER(Parametry!$G$10),K80&lt;=Parametry!$G$10+Parametry!$G$11),"Sprawdź odnowienie",""))))</f>
        <v/>
      </c>
      <c r="S80" s="7" t="str">
        <f t="shared" si="8"/>
        <v/>
      </c>
    </row>
    <row r="81" spans="1:19" ht="24" customHeight="1">
      <c r="A81" s="7"/>
      <c r="B81" s="7"/>
      <c r="C81" s="3"/>
      <c r="D81" s="3"/>
      <c r="E81" s="3"/>
      <c r="F81" s="3"/>
      <c r="G81" s="2"/>
      <c r="H81" s="6"/>
      <c r="I81" s="6"/>
      <c r="J81" s="2"/>
      <c r="K81" s="2"/>
      <c r="L81" s="3"/>
      <c r="M81" s="36" t="str">
        <f>IF(C81="","",SUMIFS(ERP!$I$9:$I$1008,ERP!$F$9:$F$1008,C81,ERP!$N$9:$N$1008,1))</f>
        <v/>
      </c>
      <c r="N81" s="37" t="str">
        <f t="shared" si="6"/>
        <v/>
      </c>
      <c r="O81" s="13">
        <f>IF(OR(C81="",NOT(ISNUMBER(Parametry!$G$10)),NOT(ISNUMBER(G81))),0,IF(OR(N81=0,YEAR(G81)&gt;Parametry!$G$6),0,IF(G81&lt;=Parametry!$G$10,Parametry!$G$7+1,MONTH(G81))))</f>
        <v>0</v>
      </c>
      <c r="P81" s="13">
        <f>IF(C81="",IF(COUNTA(D81:L81)&gt;0,1,0),IF(OR(COUNTIFS($C$9:$C$108,C81)&lt;&gt;1,COUNTIFS(Plan!$C$9:$C$38,D81)&lt;&gt;1,NOT(ISNUMBER(G81)),NOT(ISNUMBER(H81)),AND(I81&lt;&gt;"",NOT(ISNUMBER(I81))),SUM(H81:I81)&lt;0,L81=""),1,0))</f>
        <v>0</v>
      </c>
      <c r="Q81" s="7" t="str">
        <f t="shared" si="7"/>
        <v/>
      </c>
      <c r="R81" s="13" t="str">
        <f>IF(C81="","",IF(J81="","",IF(K81="","Brak terminu decyzji",IF(AND(ISNUMBER(Parametry!$G$10),K81&lt;=Parametry!$G$10+Parametry!$G$11),"Sprawdź odnowienie",""))))</f>
        <v/>
      </c>
      <c r="S81" s="7" t="str">
        <f t="shared" si="8"/>
        <v/>
      </c>
    </row>
    <row r="82" spans="1:19" ht="24" customHeight="1">
      <c r="A82" s="7"/>
      <c r="B82" s="7"/>
      <c r="C82" s="3"/>
      <c r="D82" s="3"/>
      <c r="E82" s="3"/>
      <c r="F82" s="3"/>
      <c r="G82" s="2"/>
      <c r="H82" s="6"/>
      <c r="I82" s="6"/>
      <c r="J82" s="2"/>
      <c r="K82" s="2"/>
      <c r="L82" s="3"/>
      <c r="M82" s="36" t="str">
        <f>IF(C82="","",SUMIFS(ERP!$I$9:$I$1008,ERP!$F$9:$F$1008,C82,ERP!$N$9:$N$1008,1))</f>
        <v/>
      </c>
      <c r="N82" s="37" t="str">
        <f t="shared" si="6"/>
        <v/>
      </c>
      <c r="O82" s="13">
        <f>IF(OR(C82="",NOT(ISNUMBER(Parametry!$G$10)),NOT(ISNUMBER(G82))),0,IF(OR(N82=0,YEAR(G82)&gt;Parametry!$G$6),0,IF(G82&lt;=Parametry!$G$10,Parametry!$G$7+1,MONTH(G82))))</f>
        <v>0</v>
      </c>
      <c r="P82" s="13">
        <f>IF(C82="",IF(COUNTA(D82:L82)&gt;0,1,0),IF(OR(COUNTIFS($C$9:$C$108,C82)&lt;&gt;1,COUNTIFS(Plan!$C$9:$C$38,D82)&lt;&gt;1,NOT(ISNUMBER(G82)),NOT(ISNUMBER(H82)),AND(I82&lt;&gt;"",NOT(ISNUMBER(I82))),SUM(H82:I82)&lt;0,L82=""),1,0))</f>
        <v>0</v>
      </c>
      <c r="Q82" s="7" t="str">
        <f t="shared" si="7"/>
        <v/>
      </c>
      <c r="R82" s="13" t="str">
        <f>IF(C82="","",IF(J82="","",IF(K82="","Brak terminu decyzji",IF(AND(ISNUMBER(Parametry!$G$10),K82&lt;=Parametry!$G$10+Parametry!$G$11),"Sprawdź odnowienie",""))))</f>
        <v/>
      </c>
      <c r="S82" s="7" t="str">
        <f t="shared" si="8"/>
        <v/>
      </c>
    </row>
    <row r="83" spans="1:19" ht="24" customHeight="1">
      <c r="A83" s="7"/>
      <c r="B83" s="7"/>
      <c r="C83" s="3"/>
      <c r="D83" s="3"/>
      <c r="E83" s="3"/>
      <c r="F83" s="3"/>
      <c r="G83" s="2"/>
      <c r="H83" s="6"/>
      <c r="I83" s="6"/>
      <c r="J83" s="2"/>
      <c r="K83" s="2"/>
      <c r="L83" s="3"/>
      <c r="M83" s="36" t="str">
        <f>IF(C83="","",SUMIFS(ERP!$I$9:$I$1008,ERP!$F$9:$F$1008,C83,ERP!$N$9:$N$1008,1))</f>
        <v/>
      </c>
      <c r="N83" s="37" t="str">
        <f t="shared" si="6"/>
        <v/>
      </c>
      <c r="O83" s="13">
        <f>IF(OR(C83="",NOT(ISNUMBER(Parametry!$G$10)),NOT(ISNUMBER(G83))),0,IF(OR(N83=0,YEAR(G83)&gt;Parametry!$G$6),0,IF(G83&lt;=Parametry!$G$10,Parametry!$G$7+1,MONTH(G83))))</f>
        <v>0</v>
      </c>
      <c r="P83" s="13">
        <f>IF(C83="",IF(COUNTA(D83:L83)&gt;0,1,0),IF(OR(COUNTIFS($C$9:$C$108,C83)&lt;&gt;1,COUNTIFS(Plan!$C$9:$C$38,D83)&lt;&gt;1,NOT(ISNUMBER(G83)),NOT(ISNUMBER(H83)),AND(I83&lt;&gt;"",NOT(ISNUMBER(I83))),SUM(H83:I83)&lt;0,L83=""),1,0))</f>
        <v>0</v>
      </c>
      <c r="Q83" s="7" t="str">
        <f t="shared" si="7"/>
        <v/>
      </c>
      <c r="R83" s="13" t="str">
        <f>IF(C83="","",IF(J83="","",IF(K83="","Brak terminu decyzji",IF(AND(ISNUMBER(Parametry!$G$10),K83&lt;=Parametry!$G$10+Parametry!$G$11),"Sprawdź odnowienie",""))))</f>
        <v/>
      </c>
      <c r="S83" s="7" t="str">
        <f t="shared" si="8"/>
        <v/>
      </c>
    </row>
    <row r="84" spans="1:19" ht="24" customHeight="1">
      <c r="A84" s="7"/>
      <c r="B84" s="7"/>
      <c r="C84" s="3"/>
      <c r="D84" s="3"/>
      <c r="E84" s="3"/>
      <c r="F84" s="3"/>
      <c r="G84" s="2"/>
      <c r="H84" s="6"/>
      <c r="I84" s="6"/>
      <c r="J84" s="2"/>
      <c r="K84" s="2"/>
      <c r="L84" s="3"/>
      <c r="M84" s="36" t="str">
        <f>IF(C84="","",SUMIFS(ERP!$I$9:$I$1008,ERP!$F$9:$F$1008,C84,ERP!$N$9:$N$1008,1))</f>
        <v/>
      </c>
      <c r="N84" s="37" t="str">
        <f t="shared" si="6"/>
        <v/>
      </c>
      <c r="O84" s="13">
        <f>IF(OR(C84="",NOT(ISNUMBER(Parametry!$G$10)),NOT(ISNUMBER(G84))),0,IF(OR(N84=0,YEAR(G84)&gt;Parametry!$G$6),0,IF(G84&lt;=Parametry!$G$10,Parametry!$G$7+1,MONTH(G84))))</f>
        <v>0</v>
      </c>
      <c r="P84" s="13">
        <f>IF(C84="",IF(COUNTA(D84:L84)&gt;0,1,0),IF(OR(COUNTIFS($C$9:$C$108,C84)&lt;&gt;1,COUNTIFS(Plan!$C$9:$C$38,D84)&lt;&gt;1,NOT(ISNUMBER(G84)),NOT(ISNUMBER(H84)),AND(I84&lt;&gt;"",NOT(ISNUMBER(I84))),SUM(H84:I84)&lt;0,L84=""),1,0))</f>
        <v>0</v>
      </c>
      <c r="Q84" s="7" t="str">
        <f t="shared" si="7"/>
        <v/>
      </c>
      <c r="R84" s="13" t="str">
        <f>IF(C84="","",IF(J84="","",IF(K84="","Brak terminu decyzji",IF(AND(ISNUMBER(Parametry!$G$10),K84&lt;=Parametry!$G$10+Parametry!$G$11),"Sprawdź odnowienie",""))))</f>
        <v/>
      </c>
      <c r="S84" s="7" t="str">
        <f t="shared" si="8"/>
        <v/>
      </c>
    </row>
    <row r="85" spans="1:19" ht="24" customHeight="1">
      <c r="A85" s="7"/>
      <c r="B85" s="7"/>
      <c r="C85" s="3"/>
      <c r="D85" s="3"/>
      <c r="E85" s="3"/>
      <c r="F85" s="3"/>
      <c r="G85" s="2"/>
      <c r="H85" s="6"/>
      <c r="I85" s="6"/>
      <c r="J85" s="2"/>
      <c r="K85" s="2"/>
      <c r="L85" s="3"/>
      <c r="M85" s="36" t="str">
        <f>IF(C85="","",SUMIFS(ERP!$I$9:$I$1008,ERP!$F$9:$F$1008,C85,ERP!$N$9:$N$1008,1))</f>
        <v/>
      </c>
      <c r="N85" s="37" t="str">
        <f t="shared" si="6"/>
        <v/>
      </c>
      <c r="O85" s="13">
        <f>IF(OR(C85="",NOT(ISNUMBER(Parametry!$G$10)),NOT(ISNUMBER(G85))),0,IF(OR(N85=0,YEAR(G85)&gt;Parametry!$G$6),0,IF(G85&lt;=Parametry!$G$10,Parametry!$G$7+1,MONTH(G85))))</f>
        <v>0</v>
      </c>
      <c r="P85" s="13">
        <f>IF(C85="",IF(COUNTA(D85:L85)&gt;0,1,0),IF(OR(COUNTIFS($C$9:$C$108,C85)&lt;&gt;1,COUNTIFS(Plan!$C$9:$C$38,D85)&lt;&gt;1,NOT(ISNUMBER(G85)),NOT(ISNUMBER(H85)),AND(I85&lt;&gt;"",NOT(ISNUMBER(I85))),SUM(H85:I85)&lt;0,L85=""),1,0))</f>
        <v>0</v>
      </c>
      <c r="Q85" s="7" t="str">
        <f t="shared" si="7"/>
        <v/>
      </c>
      <c r="R85" s="13" t="str">
        <f>IF(C85="","",IF(J85="","",IF(K85="","Brak terminu decyzji",IF(AND(ISNUMBER(Parametry!$G$10),K85&lt;=Parametry!$G$10+Parametry!$G$11),"Sprawdź odnowienie",""))))</f>
        <v/>
      </c>
      <c r="S85" s="7" t="str">
        <f t="shared" si="8"/>
        <v/>
      </c>
    </row>
    <row r="86" spans="1:19" ht="24" customHeight="1">
      <c r="A86" s="7"/>
      <c r="B86" s="7"/>
      <c r="C86" s="3"/>
      <c r="D86" s="3"/>
      <c r="E86" s="3"/>
      <c r="F86" s="3"/>
      <c r="G86" s="2"/>
      <c r="H86" s="6"/>
      <c r="I86" s="6"/>
      <c r="J86" s="2"/>
      <c r="K86" s="2"/>
      <c r="L86" s="3"/>
      <c r="M86" s="36" t="str">
        <f>IF(C86="","",SUMIFS(ERP!$I$9:$I$1008,ERP!$F$9:$F$1008,C86,ERP!$N$9:$N$1008,1))</f>
        <v/>
      </c>
      <c r="N86" s="37" t="str">
        <f t="shared" si="6"/>
        <v/>
      </c>
      <c r="O86" s="13">
        <f>IF(OR(C86="",NOT(ISNUMBER(Parametry!$G$10)),NOT(ISNUMBER(G86))),0,IF(OR(N86=0,YEAR(G86)&gt;Parametry!$G$6),0,IF(G86&lt;=Parametry!$G$10,Parametry!$G$7+1,MONTH(G86))))</f>
        <v>0</v>
      </c>
      <c r="P86" s="13">
        <f>IF(C86="",IF(COUNTA(D86:L86)&gt;0,1,0),IF(OR(COUNTIFS($C$9:$C$108,C86)&lt;&gt;1,COUNTIFS(Plan!$C$9:$C$38,D86)&lt;&gt;1,NOT(ISNUMBER(G86)),NOT(ISNUMBER(H86)),AND(I86&lt;&gt;"",NOT(ISNUMBER(I86))),SUM(H86:I86)&lt;0,L86=""),1,0))</f>
        <v>0</v>
      </c>
      <c r="Q86" s="7" t="str">
        <f t="shared" si="7"/>
        <v/>
      </c>
      <c r="R86" s="13" t="str">
        <f>IF(C86="","",IF(J86="","",IF(K86="","Brak terminu decyzji",IF(AND(ISNUMBER(Parametry!$G$10),K86&lt;=Parametry!$G$10+Parametry!$G$11),"Sprawdź odnowienie",""))))</f>
        <v/>
      </c>
      <c r="S86" s="7" t="str">
        <f t="shared" si="8"/>
        <v/>
      </c>
    </row>
    <row r="87" spans="1:19" ht="24" customHeight="1">
      <c r="A87" s="7"/>
      <c r="B87" s="7"/>
      <c r="C87" s="3"/>
      <c r="D87" s="3"/>
      <c r="E87" s="3"/>
      <c r="F87" s="3"/>
      <c r="G87" s="2"/>
      <c r="H87" s="6"/>
      <c r="I87" s="6"/>
      <c r="J87" s="2"/>
      <c r="K87" s="2"/>
      <c r="L87" s="3"/>
      <c r="M87" s="36" t="str">
        <f>IF(C87="","",SUMIFS(ERP!$I$9:$I$1008,ERP!$F$9:$F$1008,C87,ERP!$N$9:$N$1008,1))</f>
        <v/>
      </c>
      <c r="N87" s="37" t="str">
        <f t="shared" si="6"/>
        <v/>
      </c>
      <c r="O87" s="13">
        <f>IF(OR(C87="",NOT(ISNUMBER(Parametry!$G$10)),NOT(ISNUMBER(G87))),0,IF(OR(N87=0,YEAR(G87)&gt;Parametry!$G$6),0,IF(G87&lt;=Parametry!$G$10,Parametry!$G$7+1,MONTH(G87))))</f>
        <v>0</v>
      </c>
      <c r="P87" s="13">
        <f>IF(C87="",IF(COUNTA(D87:L87)&gt;0,1,0),IF(OR(COUNTIFS($C$9:$C$108,C87)&lt;&gt;1,COUNTIFS(Plan!$C$9:$C$38,D87)&lt;&gt;1,NOT(ISNUMBER(G87)),NOT(ISNUMBER(H87)),AND(I87&lt;&gt;"",NOT(ISNUMBER(I87))),SUM(H87:I87)&lt;0,L87=""),1,0))</f>
        <v>0</v>
      </c>
      <c r="Q87" s="7" t="str">
        <f t="shared" si="7"/>
        <v/>
      </c>
      <c r="R87" s="13" t="str">
        <f>IF(C87="","",IF(J87="","",IF(K87="","Brak terminu decyzji",IF(AND(ISNUMBER(Parametry!$G$10),K87&lt;=Parametry!$G$10+Parametry!$G$11),"Sprawdź odnowienie",""))))</f>
        <v/>
      </c>
      <c r="S87" s="7" t="str">
        <f t="shared" si="8"/>
        <v/>
      </c>
    </row>
    <row r="88" spans="1:19" ht="24" customHeight="1">
      <c r="A88" s="7"/>
      <c r="B88" s="7"/>
      <c r="C88" s="3"/>
      <c r="D88" s="3"/>
      <c r="E88" s="3"/>
      <c r="F88" s="3"/>
      <c r="G88" s="2"/>
      <c r="H88" s="6"/>
      <c r="I88" s="6"/>
      <c r="J88" s="2"/>
      <c r="K88" s="2"/>
      <c r="L88" s="3"/>
      <c r="M88" s="36" t="str">
        <f>IF(C88="","",SUMIFS(ERP!$I$9:$I$1008,ERP!$F$9:$F$1008,C88,ERP!$N$9:$N$1008,1))</f>
        <v/>
      </c>
      <c r="N88" s="37" t="str">
        <f t="shared" si="6"/>
        <v/>
      </c>
      <c r="O88" s="13">
        <f>IF(OR(C88="",NOT(ISNUMBER(Parametry!$G$10)),NOT(ISNUMBER(G88))),0,IF(OR(N88=0,YEAR(G88)&gt;Parametry!$G$6),0,IF(G88&lt;=Parametry!$G$10,Parametry!$G$7+1,MONTH(G88))))</f>
        <v>0</v>
      </c>
      <c r="P88" s="13">
        <f>IF(C88="",IF(COUNTA(D88:L88)&gt;0,1,0),IF(OR(COUNTIFS($C$9:$C$108,C88)&lt;&gt;1,COUNTIFS(Plan!$C$9:$C$38,D88)&lt;&gt;1,NOT(ISNUMBER(G88)),NOT(ISNUMBER(H88)),AND(I88&lt;&gt;"",NOT(ISNUMBER(I88))),SUM(H88:I88)&lt;0,L88=""),1,0))</f>
        <v>0</v>
      </c>
      <c r="Q88" s="7" t="str">
        <f t="shared" si="7"/>
        <v/>
      </c>
      <c r="R88" s="13" t="str">
        <f>IF(C88="","",IF(J88="","",IF(K88="","Brak terminu decyzji",IF(AND(ISNUMBER(Parametry!$G$10),K88&lt;=Parametry!$G$10+Parametry!$G$11),"Sprawdź odnowienie",""))))</f>
        <v/>
      </c>
      <c r="S88" s="7" t="str">
        <f t="shared" si="8"/>
        <v/>
      </c>
    </row>
    <row r="89" spans="1:19" ht="24" customHeight="1">
      <c r="A89" s="7"/>
      <c r="B89" s="7"/>
      <c r="C89" s="3"/>
      <c r="D89" s="3"/>
      <c r="E89" s="3"/>
      <c r="F89" s="3"/>
      <c r="G89" s="2"/>
      <c r="H89" s="6"/>
      <c r="I89" s="6"/>
      <c r="J89" s="2"/>
      <c r="K89" s="2"/>
      <c r="L89" s="3"/>
      <c r="M89" s="36" t="str">
        <f>IF(C89="","",SUMIFS(ERP!$I$9:$I$1008,ERP!$F$9:$F$1008,C89,ERP!$N$9:$N$1008,1))</f>
        <v/>
      </c>
      <c r="N89" s="37" t="str">
        <f t="shared" si="6"/>
        <v/>
      </c>
      <c r="O89" s="13">
        <f>IF(OR(C89="",NOT(ISNUMBER(Parametry!$G$10)),NOT(ISNUMBER(G89))),0,IF(OR(N89=0,YEAR(G89)&gt;Parametry!$G$6),0,IF(G89&lt;=Parametry!$G$10,Parametry!$G$7+1,MONTH(G89))))</f>
        <v>0</v>
      </c>
      <c r="P89" s="13">
        <f>IF(C89="",IF(COUNTA(D89:L89)&gt;0,1,0),IF(OR(COUNTIFS($C$9:$C$108,C89)&lt;&gt;1,COUNTIFS(Plan!$C$9:$C$38,D89)&lt;&gt;1,NOT(ISNUMBER(G89)),NOT(ISNUMBER(H89)),AND(I89&lt;&gt;"",NOT(ISNUMBER(I89))),SUM(H89:I89)&lt;0,L89=""),1,0))</f>
        <v>0</v>
      </c>
      <c r="Q89" s="7" t="str">
        <f t="shared" si="7"/>
        <v/>
      </c>
      <c r="R89" s="13" t="str">
        <f>IF(C89="","",IF(J89="","",IF(K89="","Brak terminu decyzji",IF(AND(ISNUMBER(Parametry!$G$10),K89&lt;=Parametry!$G$10+Parametry!$G$11),"Sprawdź odnowienie",""))))</f>
        <v/>
      </c>
      <c r="S89" s="7" t="str">
        <f t="shared" si="8"/>
        <v/>
      </c>
    </row>
    <row r="90" spans="1:19" ht="24" customHeight="1">
      <c r="A90" s="7"/>
      <c r="B90" s="7"/>
      <c r="C90" s="3"/>
      <c r="D90" s="3"/>
      <c r="E90" s="3"/>
      <c r="F90" s="3"/>
      <c r="G90" s="2"/>
      <c r="H90" s="6"/>
      <c r="I90" s="6"/>
      <c r="J90" s="2"/>
      <c r="K90" s="2"/>
      <c r="L90" s="3"/>
      <c r="M90" s="36" t="str">
        <f>IF(C90="","",SUMIFS(ERP!$I$9:$I$1008,ERP!$F$9:$F$1008,C90,ERP!$N$9:$N$1008,1))</f>
        <v/>
      </c>
      <c r="N90" s="37" t="str">
        <f t="shared" si="6"/>
        <v/>
      </c>
      <c r="O90" s="13">
        <f>IF(OR(C90="",NOT(ISNUMBER(Parametry!$G$10)),NOT(ISNUMBER(G90))),0,IF(OR(N90=0,YEAR(G90)&gt;Parametry!$G$6),0,IF(G90&lt;=Parametry!$G$10,Parametry!$G$7+1,MONTH(G90))))</f>
        <v>0</v>
      </c>
      <c r="P90" s="13">
        <f>IF(C90="",IF(COUNTA(D90:L90)&gt;0,1,0),IF(OR(COUNTIFS($C$9:$C$108,C90)&lt;&gt;1,COUNTIFS(Plan!$C$9:$C$38,D90)&lt;&gt;1,NOT(ISNUMBER(G90)),NOT(ISNUMBER(H90)),AND(I90&lt;&gt;"",NOT(ISNUMBER(I90))),SUM(H90:I90)&lt;0,L90=""),1,0))</f>
        <v>0</v>
      </c>
      <c r="Q90" s="7" t="str">
        <f t="shared" si="7"/>
        <v/>
      </c>
      <c r="R90" s="13" t="str">
        <f>IF(C90="","",IF(J90="","",IF(K90="","Brak terminu decyzji",IF(AND(ISNUMBER(Parametry!$G$10),K90&lt;=Parametry!$G$10+Parametry!$G$11),"Sprawdź odnowienie",""))))</f>
        <v/>
      </c>
      <c r="S90" s="7" t="str">
        <f t="shared" si="8"/>
        <v/>
      </c>
    </row>
    <row r="91" spans="1:19" ht="24" customHeight="1">
      <c r="A91" s="7"/>
      <c r="B91" s="7"/>
      <c r="C91" s="3"/>
      <c r="D91" s="3"/>
      <c r="E91" s="3"/>
      <c r="F91" s="3"/>
      <c r="G91" s="2"/>
      <c r="H91" s="6"/>
      <c r="I91" s="6"/>
      <c r="J91" s="2"/>
      <c r="K91" s="2"/>
      <c r="L91" s="3"/>
      <c r="M91" s="36" t="str">
        <f>IF(C91="","",SUMIFS(ERP!$I$9:$I$1008,ERP!$F$9:$F$1008,C91,ERP!$N$9:$N$1008,1))</f>
        <v/>
      </c>
      <c r="N91" s="37" t="str">
        <f t="shared" si="6"/>
        <v/>
      </c>
      <c r="O91" s="13">
        <f>IF(OR(C91="",NOT(ISNUMBER(Parametry!$G$10)),NOT(ISNUMBER(G91))),0,IF(OR(N91=0,YEAR(G91)&gt;Parametry!$G$6),0,IF(G91&lt;=Parametry!$G$10,Parametry!$G$7+1,MONTH(G91))))</f>
        <v>0</v>
      </c>
      <c r="P91" s="13">
        <f>IF(C91="",IF(COUNTA(D91:L91)&gt;0,1,0),IF(OR(COUNTIFS($C$9:$C$108,C91)&lt;&gt;1,COUNTIFS(Plan!$C$9:$C$38,D91)&lt;&gt;1,NOT(ISNUMBER(G91)),NOT(ISNUMBER(H91)),AND(I91&lt;&gt;"",NOT(ISNUMBER(I91))),SUM(H91:I91)&lt;0,L91=""),1,0))</f>
        <v>0</v>
      </c>
      <c r="Q91" s="7" t="str">
        <f t="shared" si="7"/>
        <v/>
      </c>
      <c r="R91" s="13" t="str">
        <f>IF(C91="","",IF(J91="","",IF(K91="","Brak terminu decyzji",IF(AND(ISNUMBER(Parametry!$G$10),K91&lt;=Parametry!$G$10+Parametry!$G$11),"Sprawdź odnowienie",""))))</f>
        <v/>
      </c>
      <c r="S91" s="7" t="str">
        <f t="shared" si="8"/>
        <v/>
      </c>
    </row>
    <row r="92" spans="1:19" ht="24" customHeight="1">
      <c r="A92" s="7"/>
      <c r="B92" s="7"/>
      <c r="C92" s="3"/>
      <c r="D92" s="3"/>
      <c r="E92" s="3"/>
      <c r="F92" s="3"/>
      <c r="G92" s="2"/>
      <c r="H92" s="6"/>
      <c r="I92" s="6"/>
      <c r="J92" s="2"/>
      <c r="K92" s="2"/>
      <c r="L92" s="3"/>
      <c r="M92" s="36" t="str">
        <f>IF(C92="","",SUMIFS(ERP!$I$9:$I$1008,ERP!$F$9:$F$1008,C92,ERP!$N$9:$N$1008,1))</f>
        <v/>
      </c>
      <c r="N92" s="37" t="str">
        <f t="shared" si="6"/>
        <v/>
      </c>
      <c r="O92" s="13">
        <f>IF(OR(C92="",NOT(ISNUMBER(Parametry!$G$10)),NOT(ISNUMBER(G92))),0,IF(OR(N92=0,YEAR(G92)&gt;Parametry!$G$6),0,IF(G92&lt;=Parametry!$G$10,Parametry!$G$7+1,MONTH(G92))))</f>
        <v>0</v>
      </c>
      <c r="P92" s="13">
        <f>IF(C92="",IF(COUNTA(D92:L92)&gt;0,1,0),IF(OR(COUNTIFS($C$9:$C$108,C92)&lt;&gt;1,COUNTIFS(Plan!$C$9:$C$38,D92)&lt;&gt;1,NOT(ISNUMBER(G92)),NOT(ISNUMBER(H92)),AND(I92&lt;&gt;"",NOT(ISNUMBER(I92))),SUM(H92:I92)&lt;0,L92=""),1,0))</f>
        <v>0</v>
      </c>
      <c r="Q92" s="7" t="str">
        <f t="shared" si="7"/>
        <v/>
      </c>
      <c r="R92" s="13" t="str">
        <f>IF(C92="","",IF(J92="","",IF(K92="","Brak terminu decyzji",IF(AND(ISNUMBER(Parametry!$G$10),K92&lt;=Parametry!$G$10+Parametry!$G$11),"Sprawdź odnowienie",""))))</f>
        <v/>
      </c>
      <c r="S92" s="7" t="str">
        <f t="shared" si="8"/>
        <v/>
      </c>
    </row>
    <row r="93" spans="1:19" ht="24" customHeight="1">
      <c r="A93" s="7"/>
      <c r="B93" s="7"/>
      <c r="C93" s="3"/>
      <c r="D93" s="3"/>
      <c r="E93" s="3"/>
      <c r="F93" s="3"/>
      <c r="G93" s="2"/>
      <c r="H93" s="6"/>
      <c r="I93" s="6"/>
      <c r="J93" s="2"/>
      <c r="K93" s="2"/>
      <c r="L93" s="3"/>
      <c r="M93" s="36" t="str">
        <f>IF(C93="","",SUMIFS(ERP!$I$9:$I$1008,ERP!$F$9:$F$1008,C93,ERP!$N$9:$N$1008,1))</f>
        <v/>
      </c>
      <c r="N93" s="37" t="str">
        <f t="shared" si="6"/>
        <v/>
      </c>
      <c r="O93" s="13">
        <f>IF(OR(C93="",NOT(ISNUMBER(Parametry!$G$10)),NOT(ISNUMBER(G93))),0,IF(OR(N93=0,YEAR(G93)&gt;Parametry!$G$6),0,IF(G93&lt;=Parametry!$G$10,Parametry!$G$7+1,MONTH(G93))))</f>
        <v>0</v>
      </c>
      <c r="P93" s="13">
        <f>IF(C93="",IF(COUNTA(D93:L93)&gt;0,1,0),IF(OR(COUNTIFS($C$9:$C$108,C93)&lt;&gt;1,COUNTIFS(Plan!$C$9:$C$38,D93)&lt;&gt;1,NOT(ISNUMBER(G93)),NOT(ISNUMBER(H93)),AND(I93&lt;&gt;"",NOT(ISNUMBER(I93))),SUM(H93:I93)&lt;0,L93=""),1,0))</f>
        <v>0</v>
      </c>
      <c r="Q93" s="7" t="str">
        <f t="shared" si="7"/>
        <v/>
      </c>
      <c r="R93" s="13" t="str">
        <f>IF(C93="","",IF(J93="","",IF(K93="","Brak terminu decyzji",IF(AND(ISNUMBER(Parametry!$G$10),K93&lt;=Parametry!$G$10+Parametry!$G$11),"Sprawdź odnowienie",""))))</f>
        <v/>
      </c>
      <c r="S93" s="7" t="str">
        <f t="shared" si="8"/>
        <v/>
      </c>
    </row>
    <row r="94" spans="1:19" ht="24" customHeight="1">
      <c r="A94" s="7"/>
      <c r="B94" s="7"/>
      <c r="C94" s="3"/>
      <c r="D94" s="3"/>
      <c r="E94" s="3"/>
      <c r="F94" s="3"/>
      <c r="G94" s="2"/>
      <c r="H94" s="6"/>
      <c r="I94" s="6"/>
      <c r="J94" s="2"/>
      <c r="K94" s="2"/>
      <c r="L94" s="3"/>
      <c r="M94" s="36" t="str">
        <f>IF(C94="","",SUMIFS(ERP!$I$9:$I$1008,ERP!$F$9:$F$1008,C94,ERP!$N$9:$N$1008,1))</f>
        <v/>
      </c>
      <c r="N94" s="37" t="str">
        <f t="shared" si="6"/>
        <v/>
      </c>
      <c r="O94" s="13">
        <f>IF(OR(C94="",NOT(ISNUMBER(Parametry!$G$10)),NOT(ISNUMBER(G94))),0,IF(OR(N94=0,YEAR(G94)&gt;Parametry!$G$6),0,IF(G94&lt;=Parametry!$G$10,Parametry!$G$7+1,MONTH(G94))))</f>
        <v>0</v>
      </c>
      <c r="P94" s="13">
        <f>IF(C94="",IF(COUNTA(D94:L94)&gt;0,1,0),IF(OR(COUNTIFS($C$9:$C$108,C94)&lt;&gt;1,COUNTIFS(Plan!$C$9:$C$38,D94)&lt;&gt;1,NOT(ISNUMBER(G94)),NOT(ISNUMBER(H94)),AND(I94&lt;&gt;"",NOT(ISNUMBER(I94))),SUM(H94:I94)&lt;0,L94=""),1,0))</f>
        <v>0</v>
      </c>
      <c r="Q94" s="7" t="str">
        <f t="shared" si="7"/>
        <v/>
      </c>
      <c r="R94" s="13" t="str">
        <f>IF(C94="","",IF(J94="","",IF(K94="","Brak terminu decyzji",IF(AND(ISNUMBER(Parametry!$G$10),K94&lt;=Parametry!$G$10+Parametry!$G$11),"Sprawdź odnowienie",""))))</f>
        <v/>
      </c>
      <c r="S94" s="7" t="str">
        <f t="shared" si="8"/>
        <v/>
      </c>
    </row>
    <row r="95" spans="1:19" ht="24" customHeight="1">
      <c r="A95" s="7"/>
      <c r="B95" s="7"/>
      <c r="C95" s="3"/>
      <c r="D95" s="3"/>
      <c r="E95" s="3"/>
      <c r="F95" s="3"/>
      <c r="G95" s="2"/>
      <c r="H95" s="6"/>
      <c r="I95" s="6"/>
      <c r="J95" s="2"/>
      <c r="K95" s="2"/>
      <c r="L95" s="3"/>
      <c r="M95" s="36" t="str">
        <f>IF(C95="","",SUMIFS(ERP!$I$9:$I$1008,ERP!$F$9:$F$1008,C95,ERP!$N$9:$N$1008,1))</f>
        <v/>
      </c>
      <c r="N95" s="37" t="str">
        <f t="shared" si="6"/>
        <v/>
      </c>
      <c r="O95" s="13">
        <f>IF(OR(C95="",NOT(ISNUMBER(Parametry!$G$10)),NOT(ISNUMBER(G95))),0,IF(OR(N95=0,YEAR(G95)&gt;Parametry!$G$6),0,IF(G95&lt;=Parametry!$G$10,Parametry!$G$7+1,MONTH(G95))))</f>
        <v>0</v>
      </c>
      <c r="P95" s="13">
        <f>IF(C95="",IF(COUNTA(D95:L95)&gt;0,1,0),IF(OR(COUNTIFS($C$9:$C$108,C95)&lt;&gt;1,COUNTIFS(Plan!$C$9:$C$38,D95)&lt;&gt;1,NOT(ISNUMBER(G95)),NOT(ISNUMBER(H95)),AND(I95&lt;&gt;"",NOT(ISNUMBER(I95))),SUM(H95:I95)&lt;0,L95=""),1,0))</f>
        <v>0</v>
      </c>
      <c r="Q95" s="7" t="str">
        <f t="shared" si="7"/>
        <v/>
      </c>
      <c r="R95" s="13" t="str">
        <f>IF(C95="","",IF(J95="","",IF(K95="","Brak terminu decyzji",IF(AND(ISNUMBER(Parametry!$G$10),K95&lt;=Parametry!$G$10+Parametry!$G$11),"Sprawdź odnowienie",""))))</f>
        <v/>
      </c>
      <c r="S95" s="7" t="str">
        <f t="shared" si="8"/>
        <v/>
      </c>
    </row>
    <row r="96" spans="1:19" ht="24" customHeight="1">
      <c r="A96" s="7"/>
      <c r="B96" s="7"/>
      <c r="C96" s="3"/>
      <c r="D96" s="3"/>
      <c r="E96" s="3"/>
      <c r="F96" s="3"/>
      <c r="G96" s="2"/>
      <c r="H96" s="6"/>
      <c r="I96" s="6"/>
      <c r="J96" s="2"/>
      <c r="K96" s="2"/>
      <c r="L96" s="3"/>
      <c r="M96" s="36" t="str">
        <f>IF(C96="","",SUMIFS(ERP!$I$9:$I$1008,ERP!$F$9:$F$1008,C96,ERP!$N$9:$N$1008,1))</f>
        <v/>
      </c>
      <c r="N96" s="37" t="str">
        <f t="shared" si="6"/>
        <v/>
      </c>
      <c r="O96" s="13">
        <f>IF(OR(C96="",NOT(ISNUMBER(Parametry!$G$10)),NOT(ISNUMBER(G96))),0,IF(OR(N96=0,YEAR(G96)&gt;Parametry!$G$6),0,IF(G96&lt;=Parametry!$G$10,Parametry!$G$7+1,MONTH(G96))))</f>
        <v>0</v>
      </c>
      <c r="P96" s="13">
        <f>IF(C96="",IF(COUNTA(D96:L96)&gt;0,1,0),IF(OR(COUNTIFS($C$9:$C$108,C96)&lt;&gt;1,COUNTIFS(Plan!$C$9:$C$38,D96)&lt;&gt;1,NOT(ISNUMBER(G96)),NOT(ISNUMBER(H96)),AND(I96&lt;&gt;"",NOT(ISNUMBER(I96))),SUM(H96:I96)&lt;0,L96=""),1,0))</f>
        <v>0</v>
      </c>
      <c r="Q96" s="7" t="str">
        <f t="shared" si="7"/>
        <v/>
      </c>
      <c r="R96" s="13" t="str">
        <f>IF(C96="","",IF(J96="","",IF(K96="","Brak terminu decyzji",IF(AND(ISNUMBER(Parametry!$G$10),K96&lt;=Parametry!$G$10+Parametry!$G$11),"Sprawdź odnowienie",""))))</f>
        <v/>
      </c>
      <c r="S96" s="7" t="str">
        <f t="shared" si="8"/>
        <v/>
      </c>
    </row>
    <row r="97" spans="1:19" ht="24" customHeight="1">
      <c r="A97" s="7"/>
      <c r="B97" s="7"/>
      <c r="C97" s="3"/>
      <c r="D97" s="3"/>
      <c r="E97" s="3"/>
      <c r="F97" s="3"/>
      <c r="G97" s="2"/>
      <c r="H97" s="6"/>
      <c r="I97" s="6"/>
      <c r="J97" s="2"/>
      <c r="K97" s="2"/>
      <c r="L97" s="3"/>
      <c r="M97" s="36" t="str">
        <f>IF(C97="","",SUMIFS(ERP!$I$9:$I$1008,ERP!$F$9:$F$1008,C97,ERP!$N$9:$N$1008,1))</f>
        <v/>
      </c>
      <c r="N97" s="37" t="str">
        <f t="shared" si="6"/>
        <v/>
      </c>
      <c r="O97" s="13">
        <f>IF(OR(C97="",NOT(ISNUMBER(Parametry!$G$10)),NOT(ISNUMBER(G97))),0,IF(OR(N97=0,YEAR(G97)&gt;Parametry!$G$6),0,IF(G97&lt;=Parametry!$G$10,Parametry!$G$7+1,MONTH(G97))))</f>
        <v>0</v>
      </c>
      <c r="P97" s="13">
        <f>IF(C97="",IF(COUNTA(D97:L97)&gt;0,1,0),IF(OR(COUNTIFS($C$9:$C$108,C97)&lt;&gt;1,COUNTIFS(Plan!$C$9:$C$38,D97)&lt;&gt;1,NOT(ISNUMBER(G97)),NOT(ISNUMBER(H97)),AND(I97&lt;&gt;"",NOT(ISNUMBER(I97))),SUM(H97:I97)&lt;0,L97=""),1,0))</f>
        <v>0</v>
      </c>
      <c r="Q97" s="7" t="str">
        <f t="shared" si="7"/>
        <v/>
      </c>
      <c r="R97" s="13" t="str">
        <f>IF(C97="","",IF(J97="","",IF(K97="","Brak terminu decyzji",IF(AND(ISNUMBER(Parametry!$G$10),K97&lt;=Parametry!$G$10+Parametry!$G$11),"Sprawdź odnowienie",""))))</f>
        <v/>
      </c>
      <c r="S97" s="7" t="str">
        <f t="shared" si="8"/>
        <v/>
      </c>
    </row>
    <row r="98" spans="1:19" ht="24" customHeight="1">
      <c r="A98" s="7"/>
      <c r="B98" s="7"/>
      <c r="C98" s="3"/>
      <c r="D98" s="3"/>
      <c r="E98" s="3"/>
      <c r="F98" s="3"/>
      <c r="G98" s="2"/>
      <c r="H98" s="6"/>
      <c r="I98" s="6"/>
      <c r="J98" s="2"/>
      <c r="K98" s="2"/>
      <c r="L98" s="3"/>
      <c r="M98" s="36" t="str">
        <f>IF(C98="","",SUMIFS(ERP!$I$9:$I$1008,ERP!$F$9:$F$1008,C98,ERP!$N$9:$N$1008,1))</f>
        <v/>
      </c>
      <c r="N98" s="37" t="str">
        <f t="shared" si="6"/>
        <v/>
      </c>
      <c r="O98" s="13">
        <f>IF(OR(C98="",NOT(ISNUMBER(Parametry!$G$10)),NOT(ISNUMBER(G98))),0,IF(OR(N98=0,YEAR(G98)&gt;Parametry!$G$6),0,IF(G98&lt;=Parametry!$G$10,Parametry!$G$7+1,MONTH(G98))))</f>
        <v>0</v>
      </c>
      <c r="P98" s="13">
        <f>IF(C98="",IF(COUNTA(D98:L98)&gt;0,1,0),IF(OR(COUNTIFS($C$9:$C$108,C98)&lt;&gt;1,COUNTIFS(Plan!$C$9:$C$38,D98)&lt;&gt;1,NOT(ISNUMBER(G98)),NOT(ISNUMBER(H98)),AND(I98&lt;&gt;"",NOT(ISNUMBER(I98))),SUM(H98:I98)&lt;0,L98=""),1,0))</f>
        <v>0</v>
      </c>
      <c r="Q98" s="7" t="str">
        <f t="shared" si="7"/>
        <v/>
      </c>
      <c r="R98" s="13" t="str">
        <f>IF(C98="","",IF(J98="","",IF(K98="","Brak terminu decyzji",IF(AND(ISNUMBER(Parametry!$G$10),K98&lt;=Parametry!$G$10+Parametry!$G$11),"Sprawdź odnowienie",""))))</f>
        <v/>
      </c>
      <c r="S98" s="7" t="str">
        <f t="shared" si="8"/>
        <v/>
      </c>
    </row>
    <row r="99" spans="1:19" ht="24" customHeight="1">
      <c r="A99" s="7"/>
      <c r="B99" s="7"/>
      <c r="C99" s="3"/>
      <c r="D99" s="3"/>
      <c r="E99" s="3"/>
      <c r="F99" s="3"/>
      <c r="G99" s="2"/>
      <c r="H99" s="6"/>
      <c r="I99" s="6"/>
      <c r="J99" s="2"/>
      <c r="K99" s="2"/>
      <c r="L99" s="3"/>
      <c r="M99" s="36" t="str">
        <f>IF(C99="","",SUMIFS(ERP!$I$9:$I$1008,ERP!$F$9:$F$1008,C99,ERP!$N$9:$N$1008,1))</f>
        <v/>
      </c>
      <c r="N99" s="37" t="str">
        <f t="shared" si="6"/>
        <v/>
      </c>
      <c r="O99" s="13">
        <f>IF(OR(C99="",NOT(ISNUMBER(Parametry!$G$10)),NOT(ISNUMBER(G99))),0,IF(OR(N99=0,YEAR(G99)&gt;Parametry!$G$6),0,IF(G99&lt;=Parametry!$G$10,Parametry!$G$7+1,MONTH(G99))))</f>
        <v>0</v>
      </c>
      <c r="P99" s="13">
        <f>IF(C99="",IF(COUNTA(D99:L99)&gt;0,1,0),IF(OR(COUNTIFS($C$9:$C$108,C99)&lt;&gt;1,COUNTIFS(Plan!$C$9:$C$38,D99)&lt;&gt;1,NOT(ISNUMBER(G99)),NOT(ISNUMBER(H99)),AND(I99&lt;&gt;"",NOT(ISNUMBER(I99))),SUM(H99:I99)&lt;0,L99=""),1,0))</f>
        <v>0</v>
      </c>
      <c r="Q99" s="7" t="str">
        <f t="shared" si="7"/>
        <v/>
      </c>
      <c r="R99" s="13" t="str">
        <f>IF(C99="","",IF(J99="","",IF(K99="","Brak terminu decyzji",IF(AND(ISNUMBER(Parametry!$G$10),K99&lt;=Parametry!$G$10+Parametry!$G$11),"Sprawdź odnowienie",""))))</f>
        <v/>
      </c>
      <c r="S99" s="7" t="str">
        <f t="shared" si="8"/>
        <v/>
      </c>
    </row>
    <row r="100" spans="1:19" ht="24" customHeight="1">
      <c r="A100" s="7"/>
      <c r="B100" s="7"/>
      <c r="C100" s="3"/>
      <c r="D100" s="3"/>
      <c r="E100" s="3"/>
      <c r="F100" s="3"/>
      <c r="G100" s="2"/>
      <c r="H100" s="6"/>
      <c r="I100" s="6"/>
      <c r="J100" s="2"/>
      <c r="K100" s="2"/>
      <c r="L100" s="3"/>
      <c r="M100" s="36" t="str">
        <f>IF(C100="","",SUMIFS(ERP!$I$9:$I$1008,ERP!$F$9:$F$1008,C100,ERP!$N$9:$N$1008,1))</f>
        <v/>
      </c>
      <c r="N100" s="37" t="str">
        <f t="shared" si="6"/>
        <v/>
      </c>
      <c r="O100" s="13">
        <f>IF(OR(C100="",NOT(ISNUMBER(Parametry!$G$10)),NOT(ISNUMBER(G100))),0,IF(OR(N100=0,YEAR(G100)&gt;Parametry!$G$6),0,IF(G100&lt;=Parametry!$G$10,Parametry!$G$7+1,MONTH(G100))))</f>
        <v>0</v>
      </c>
      <c r="P100" s="13">
        <f>IF(C100="",IF(COUNTA(D100:L100)&gt;0,1,0),IF(OR(COUNTIFS($C$9:$C$108,C100)&lt;&gt;1,COUNTIFS(Plan!$C$9:$C$38,D100)&lt;&gt;1,NOT(ISNUMBER(G100)),NOT(ISNUMBER(H100)),AND(I100&lt;&gt;"",NOT(ISNUMBER(I100))),SUM(H100:I100)&lt;0,L100=""),1,0))</f>
        <v>0</v>
      </c>
      <c r="Q100" s="7" t="str">
        <f t="shared" si="7"/>
        <v/>
      </c>
      <c r="R100" s="13" t="str">
        <f>IF(C100="","",IF(J100="","",IF(K100="","Brak terminu decyzji",IF(AND(ISNUMBER(Parametry!$G$10),K100&lt;=Parametry!$G$10+Parametry!$G$11),"Sprawdź odnowienie",""))))</f>
        <v/>
      </c>
      <c r="S100" s="7" t="str">
        <f t="shared" si="8"/>
        <v/>
      </c>
    </row>
    <row r="101" spans="1:19" ht="24" customHeight="1">
      <c r="A101" s="7"/>
      <c r="B101" s="7"/>
      <c r="C101" s="3"/>
      <c r="D101" s="3"/>
      <c r="E101" s="3"/>
      <c r="F101" s="3"/>
      <c r="G101" s="2"/>
      <c r="H101" s="6"/>
      <c r="I101" s="6"/>
      <c r="J101" s="2"/>
      <c r="K101" s="2"/>
      <c r="L101" s="3"/>
      <c r="M101" s="36" t="str">
        <f>IF(C101="","",SUMIFS(ERP!$I$9:$I$1008,ERP!$F$9:$F$1008,C101,ERP!$N$9:$N$1008,1))</f>
        <v/>
      </c>
      <c r="N101" s="37" t="str">
        <f t="shared" si="6"/>
        <v/>
      </c>
      <c r="O101" s="13">
        <f>IF(OR(C101="",NOT(ISNUMBER(Parametry!$G$10)),NOT(ISNUMBER(G101))),0,IF(OR(N101=0,YEAR(G101)&gt;Parametry!$G$6),0,IF(G101&lt;=Parametry!$G$10,Parametry!$G$7+1,MONTH(G101))))</f>
        <v>0</v>
      </c>
      <c r="P101" s="13">
        <f>IF(C101="",IF(COUNTA(D101:L101)&gt;0,1,0),IF(OR(COUNTIFS($C$9:$C$108,C101)&lt;&gt;1,COUNTIFS(Plan!$C$9:$C$38,D101)&lt;&gt;1,NOT(ISNUMBER(G101)),NOT(ISNUMBER(H101)),AND(I101&lt;&gt;"",NOT(ISNUMBER(I101))),SUM(H101:I101)&lt;0,L101=""),1,0))</f>
        <v>0</v>
      </c>
      <c r="Q101" s="7" t="str">
        <f t="shared" si="7"/>
        <v/>
      </c>
      <c r="R101" s="13" t="str">
        <f>IF(C101="","",IF(J101="","",IF(K101="","Brak terminu decyzji",IF(AND(ISNUMBER(Parametry!$G$10),K101&lt;=Parametry!$G$10+Parametry!$G$11),"Sprawdź odnowienie",""))))</f>
        <v/>
      </c>
      <c r="S101" s="7" t="str">
        <f t="shared" si="8"/>
        <v/>
      </c>
    </row>
    <row r="102" spans="1:19" ht="24" customHeight="1">
      <c r="A102" s="7"/>
      <c r="B102" s="7"/>
      <c r="C102" s="3"/>
      <c r="D102" s="3"/>
      <c r="E102" s="3"/>
      <c r="F102" s="3"/>
      <c r="G102" s="2"/>
      <c r="H102" s="6"/>
      <c r="I102" s="6"/>
      <c r="J102" s="2"/>
      <c r="K102" s="2"/>
      <c r="L102" s="3"/>
      <c r="M102" s="36" t="str">
        <f>IF(C102="","",SUMIFS(ERP!$I$9:$I$1008,ERP!$F$9:$F$1008,C102,ERP!$N$9:$N$1008,1))</f>
        <v/>
      </c>
      <c r="N102" s="37" t="str">
        <f t="shared" si="6"/>
        <v/>
      </c>
      <c r="O102" s="13">
        <f>IF(OR(C102="",NOT(ISNUMBER(Parametry!$G$10)),NOT(ISNUMBER(G102))),0,IF(OR(N102=0,YEAR(G102)&gt;Parametry!$G$6),0,IF(G102&lt;=Parametry!$G$10,Parametry!$G$7+1,MONTH(G102))))</f>
        <v>0</v>
      </c>
      <c r="P102" s="13">
        <f>IF(C102="",IF(COUNTA(D102:L102)&gt;0,1,0),IF(OR(COUNTIFS($C$9:$C$108,C102)&lt;&gt;1,COUNTIFS(Plan!$C$9:$C$38,D102)&lt;&gt;1,NOT(ISNUMBER(G102)),NOT(ISNUMBER(H102)),AND(I102&lt;&gt;"",NOT(ISNUMBER(I102))),SUM(H102:I102)&lt;0,L102=""),1,0))</f>
        <v>0</v>
      </c>
      <c r="Q102" s="7" t="str">
        <f t="shared" si="7"/>
        <v/>
      </c>
      <c r="R102" s="13" t="str">
        <f>IF(C102="","",IF(J102="","",IF(K102="","Brak terminu decyzji",IF(AND(ISNUMBER(Parametry!$G$10),K102&lt;=Parametry!$G$10+Parametry!$G$11),"Sprawdź odnowienie",""))))</f>
        <v/>
      </c>
      <c r="S102" s="7" t="str">
        <f t="shared" si="8"/>
        <v/>
      </c>
    </row>
    <row r="103" spans="1:19" ht="24" customHeight="1">
      <c r="A103" s="7"/>
      <c r="B103" s="7"/>
      <c r="C103" s="3"/>
      <c r="D103" s="3"/>
      <c r="E103" s="3"/>
      <c r="F103" s="3"/>
      <c r="G103" s="2"/>
      <c r="H103" s="6"/>
      <c r="I103" s="6"/>
      <c r="J103" s="2"/>
      <c r="K103" s="2"/>
      <c r="L103" s="3"/>
      <c r="M103" s="36" t="str">
        <f>IF(C103="","",SUMIFS(ERP!$I$9:$I$1008,ERP!$F$9:$F$1008,C103,ERP!$N$9:$N$1008,1))</f>
        <v/>
      </c>
      <c r="N103" s="37" t="str">
        <f t="shared" si="6"/>
        <v/>
      </c>
      <c r="O103" s="13">
        <f>IF(OR(C103="",NOT(ISNUMBER(Parametry!$G$10)),NOT(ISNUMBER(G103))),0,IF(OR(N103=0,YEAR(G103)&gt;Parametry!$G$6),0,IF(G103&lt;=Parametry!$G$10,Parametry!$G$7+1,MONTH(G103))))</f>
        <v>0</v>
      </c>
      <c r="P103" s="13">
        <f>IF(C103="",IF(COUNTA(D103:L103)&gt;0,1,0),IF(OR(COUNTIFS($C$9:$C$108,C103)&lt;&gt;1,COUNTIFS(Plan!$C$9:$C$38,D103)&lt;&gt;1,NOT(ISNUMBER(G103)),NOT(ISNUMBER(H103)),AND(I103&lt;&gt;"",NOT(ISNUMBER(I103))),SUM(H103:I103)&lt;0,L103=""),1,0))</f>
        <v>0</v>
      </c>
      <c r="Q103" s="7" t="str">
        <f t="shared" si="7"/>
        <v/>
      </c>
      <c r="R103" s="13" t="str">
        <f>IF(C103="","",IF(J103="","",IF(K103="","Brak terminu decyzji",IF(AND(ISNUMBER(Parametry!$G$10),K103&lt;=Parametry!$G$10+Parametry!$G$11),"Sprawdź odnowienie",""))))</f>
        <v/>
      </c>
      <c r="S103" s="7" t="str">
        <f t="shared" si="8"/>
        <v/>
      </c>
    </row>
    <row r="104" spans="1:19" ht="24" customHeight="1">
      <c r="A104" s="7"/>
      <c r="B104" s="7"/>
      <c r="C104" s="3"/>
      <c r="D104" s="3"/>
      <c r="E104" s="3"/>
      <c r="F104" s="3"/>
      <c r="G104" s="2"/>
      <c r="H104" s="6"/>
      <c r="I104" s="6"/>
      <c r="J104" s="2"/>
      <c r="K104" s="2"/>
      <c r="L104" s="3"/>
      <c r="M104" s="36" t="str">
        <f>IF(C104="","",SUMIFS(ERP!$I$9:$I$1008,ERP!$F$9:$F$1008,C104,ERP!$N$9:$N$1008,1))</f>
        <v/>
      </c>
      <c r="N104" s="37" t="str">
        <f t="shared" si="6"/>
        <v/>
      </c>
      <c r="O104" s="13">
        <f>IF(OR(C104="",NOT(ISNUMBER(Parametry!$G$10)),NOT(ISNUMBER(G104))),0,IF(OR(N104=0,YEAR(G104)&gt;Parametry!$G$6),0,IF(G104&lt;=Parametry!$G$10,Parametry!$G$7+1,MONTH(G104))))</f>
        <v>0</v>
      </c>
      <c r="P104" s="13">
        <f>IF(C104="",IF(COUNTA(D104:L104)&gt;0,1,0),IF(OR(COUNTIFS($C$9:$C$108,C104)&lt;&gt;1,COUNTIFS(Plan!$C$9:$C$38,D104)&lt;&gt;1,NOT(ISNUMBER(G104)),NOT(ISNUMBER(H104)),AND(I104&lt;&gt;"",NOT(ISNUMBER(I104))),SUM(H104:I104)&lt;0,L104=""),1,0))</f>
        <v>0</v>
      </c>
      <c r="Q104" s="7" t="str">
        <f t="shared" si="7"/>
        <v/>
      </c>
      <c r="R104" s="13" t="str">
        <f>IF(C104="","",IF(J104="","",IF(K104="","Brak terminu decyzji",IF(AND(ISNUMBER(Parametry!$G$10),K104&lt;=Parametry!$G$10+Parametry!$G$11),"Sprawdź odnowienie",""))))</f>
        <v/>
      </c>
      <c r="S104" s="7" t="str">
        <f t="shared" si="8"/>
        <v/>
      </c>
    </row>
    <row r="105" spans="1:19" ht="24" customHeight="1">
      <c r="A105" s="7"/>
      <c r="B105" s="7"/>
      <c r="C105" s="3"/>
      <c r="D105" s="3"/>
      <c r="E105" s="3"/>
      <c r="F105" s="3"/>
      <c r="G105" s="2"/>
      <c r="H105" s="6"/>
      <c r="I105" s="6"/>
      <c r="J105" s="2"/>
      <c r="K105" s="2"/>
      <c r="L105" s="3"/>
      <c r="M105" s="36" t="str">
        <f>IF(C105="","",SUMIFS(ERP!$I$9:$I$1008,ERP!$F$9:$F$1008,C105,ERP!$N$9:$N$1008,1))</f>
        <v/>
      </c>
      <c r="N105" s="37" t="str">
        <f t="shared" ref="N105:N108" si="9">IF(C105="","",MAX(0,SUM(H105:I105)-M105))</f>
        <v/>
      </c>
      <c r="O105" s="13">
        <f>IF(OR(C105="",NOT(ISNUMBER(Parametry!$G$10)),NOT(ISNUMBER(G105))),0,IF(OR(N105=0,YEAR(G105)&gt;Parametry!$G$6),0,IF(G105&lt;=Parametry!$G$10,Parametry!$G$7+1,MONTH(G105))))</f>
        <v>0</v>
      </c>
      <c r="P105" s="13">
        <f>IF(C105="",IF(COUNTA(D105:L105)&gt;0,1,0),IF(OR(COUNTIFS($C$9:$C$108,C105)&lt;&gt;1,COUNTIFS(Plan!$C$9:$C$38,D105)&lt;&gt;1,NOT(ISNUMBER(G105)),NOT(ISNUMBER(H105)),AND(I105&lt;&gt;"",NOT(ISNUMBER(I105))),SUM(H105:I105)&lt;0,L105=""),1,0))</f>
        <v>0</v>
      </c>
      <c r="Q105" s="7" t="str">
        <f t="shared" ref="Q105:Q108" si="10">IF(P105=0,"","Sprawdź ID, przypisanie, datę i kwotę")</f>
        <v/>
      </c>
      <c r="R105" s="13" t="str">
        <f>IF(C105="","",IF(J105="","",IF(K105="","Brak terminu decyzji",IF(AND(ISNUMBER(Parametry!$G$10),K105&lt;=Parametry!$G$10+Parametry!$G$11),"Sprawdź odnowienie",""))))</f>
        <v/>
      </c>
      <c r="S105" s="7" t="str">
        <f t="shared" si="8"/>
        <v/>
      </c>
    </row>
    <row r="106" spans="1:19" ht="24" customHeight="1">
      <c r="A106" s="7"/>
      <c r="B106" s="7"/>
      <c r="C106" s="3"/>
      <c r="D106" s="3"/>
      <c r="E106" s="3"/>
      <c r="F106" s="3"/>
      <c r="G106" s="2"/>
      <c r="H106" s="6"/>
      <c r="I106" s="6"/>
      <c r="J106" s="2"/>
      <c r="K106" s="2"/>
      <c r="L106" s="3"/>
      <c r="M106" s="36" t="str">
        <f>IF(C106="","",SUMIFS(ERP!$I$9:$I$1008,ERP!$F$9:$F$1008,C106,ERP!$N$9:$N$1008,1))</f>
        <v/>
      </c>
      <c r="N106" s="37" t="str">
        <f t="shared" si="9"/>
        <v/>
      </c>
      <c r="O106" s="13">
        <f>IF(OR(C106="",NOT(ISNUMBER(Parametry!$G$10)),NOT(ISNUMBER(G106))),0,IF(OR(N106=0,YEAR(G106)&gt;Parametry!$G$6),0,IF(G106&lt;=Parametry!$G$10,Parametry!$G$7+1,MONTH(G106))))</f>
        <v>0</v>
      </c>
      <c r="P106" s="13">
        <f>IF(C106="",IF(COUNTA(D106:L106)&gt;0,1,0),IF(OR(COUNTIFS($C$9:$C$108,C106)&lt;&gt;1,COUNTIFS(Plan!$C$9:$C$38,D106)&lt;&gt;1,NOT(ISNUMBER(G106)),NOT(ISNUMBER(H106)),AND(I106&lt;&gt;"",NOT(ISNUMBER(I106))),SUM(H106:I106)&lt;0,L106=""),1,0))</f>
        <v>0</v>
      </c>
      <c r="Q106" s="7" t="str">
        <f t="shared" si="10"/>
        <v/>
      </c>
      <c r="R106" s="13" t="str">
        <f>IF(C106="","",IF(J106="","",IF(K106="","Brak terminu decyzji",IF(AND(ISNUMBER(Parametry!$G$10),K106&lt;=Parametry!$G$10+Parametry!$G$11),"Sprawdź odnowienie",""))))</f>
        <v/>
      </c>
      <c r="S106" s="7" t="str">
        <f t="shared" si="8"/>
        <v/>
      </c>
    </row>
    <row r="107" spans="1:19" ht="24" customHeight="1">
      <c r="A107" s="7"/>
      <c r="B107" s="7"/>
      <c r="C107" s="3"/>
      <c r="D107" s="3"/>
      <c r="E107" s="3"/>
      <c r="F107" s="3"/>
      <c r="G107" s="2"/>
      <c r="H107" s="6"/>
      <c r="I107" s="6"/>
      <c r="J107" s="2"/>
      <c r="K107" s="2"/>
      <c r="L107" s="3"/>
      <c r="M107" s="36" t="str">
        <f>IF(C107="","",SUMIFS(ERP!$I$9:$I$1008,ERP!$F$9:$F$1008,C107,ERP!$N$9:$N$1008,1))</f>
        <v/>
      </c>
      <c r="N107" s="37" t="str">
        <f t="shared" si="9"/>
        <v/>
      </c>
      <c r="O107" s="13">
        <f>IF(OR(C107="",NOT(ISNUMBER(Parametry!$G$10)),NOT(ISNUMBER(G107))),0,IF(OR(N107=0,YEAR(G107)&gt;Parametry!$G$6),0,IF(G107&lt;=Parametry!$G$10,Parametry!$G$7+1,MONTH(G107))))</f>
        <v>0</v>
      </c>
      <c r="P107" s="13">
        <f>IF(C107="",IF(COUNTA(D107:L107)&gt;0,1,0),IF(OR(COUNTIFS($C$9:$C$108,C107)&lt;&gt;1,COUNTIFS(Plan!$C$9:$C$38,D107)&lt;&gt;1,NOT(ISNUMBER(G107)),NOT(ISNUMBER(H107)),AND(I107&lt;&gt;"",NOT(ISNUMBER(I107))),SUM(H107:I107)&lt;0,L107=""),1,0))</f>
        <v>0</v>
      </c>
      <c r="Q107" s="7" t="str">
        <f t="shared" si="10"/>
        <v/>
      </c>
      <c r="R107" s="13" t="str">
        <f>IF(C107="","",IF(J107="","",IF(K107="","Brak terminu decyzji",IF(AND(ISNUMBER(Parametry!$G$10),K107&lt;=Parametry!$G$10+Parametry!$G$11),"Sprawdź odnowienie",""))))</f>
        <v/>
      </c>
      <c r="S107" s="7" t="str">
        <f t="shared" si="8"/>
        <v/>
      </c>
    </row>
    <row r="108" spans="1:19" ht="24" customHeight="1">
      <c r="A108" s="7"/>
      <c r="B108" s="7"/>
      <c r="C108" s="3"/>
      <c r="D108" s="3"/>
      <c r="E108" s="3"/>
      <c r="F108" s="3"/>
      <c r="G108" s="2"/>
      <c r="H108" s="6"/>
      <c r="I108" s="6"/>
      <c r="J108" s="2"/>
      <c r="K108" s="2"/>
      <c r="L108" s="3"/>
      <c r="M108" s="36" t="str">
        <f>IF(C108="","",SUMIFS(ERP!$I$9:$I$1008,ERP!$F$9:$F$1008,C108,ERP!$N$9:$N$1008,1))</f>
        <v/>
      </c>
      <c r="N108" s="37" t="str">
        <f t="shared" si="9"/>
        <v/>
      </c>
      <c r="O108" s="13">
        <f>IF(OR(C108="",NOT(ISNUMBER(Parametry!$G$10)),NOT(ISNUMBER(G108))),0,IF(OR(N108=0,YEAR(G108)&gt;Parametry!$G$6),0,IF(G108&lt;=Parametry!$G$10,Parametry!$G$7+1,MONTH(G108))))</f>
        <v>0</v>
      </c>
      <c r="P108" s="13">
        <f>IF(C108="",IF(COUNTA(D108:L108)&gt;0,1,0),IF(OR(COUNTIFS($C$9:$C$108,C108)&lt;&gt;1,COUNTIFS(Plan!$C$9:$C$38,D108)&lt;&gt;1,NOT(ISNUMBER(G108)),NOT(ISNUMBER(H108)),AND(I108&lt;&gt;"",NOT(ISNUMBER(I108))),SUM(H108:I108)&lt;0,L108=""),1,0))</f>
        <v>0</v>
      </c>
      <c r="Q108" s="7" t="str">
        <f t="shared" si="10"/>
        <v/>
      </c>
      <c r="R108" s="13" t="str">
        <f>IF(C108="","",IF(J108="","",IF(K108="","Brak terminu decyzji",IF(AND(ISNUMBER(Parametry!$G$10),K108&lt;=Parametry!$G$10+Parametry!$G$11),"Sprawdź odnowienie",""))))</f>
        <v/>
      </c>
      <c r="S108" s="7" t="str">
        <f t="shared" si="8"/>
        <v/>
      </c>
    </row>
    <row r="109" spans="1:19" ht="24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</row>
    <row r="110" spans="1:19" ht="24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</row>
    <row r="111" spans="1:19" ht="24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</row>
    <row r="112" spans="1:19" ht="24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</row>
  </sheetData>
  <sheetProtection sheet="1" objects="1" scenarios="1" autoFilter="0"/>
  <mergeCells count="3">
    <mergeCell ref="C2:S2"/>
    <mergeCell ref="C3:S3"/>
    <mergeCell ref="D4:G4"/>
  </mergeCells>
  <conditionalFormatting sqref="P9:P108">
    <cfRule type="cellIs" dxfId="14" priority="1" operator="greaterThan">
      <formula>0</formula>
    </cfRule>
  </conditionalFormatting>
  <pageMargins left="0.7" right="0.7" top="0.75" bottom="0.75" header="0.3" footer="0.3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Q1012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15" style="8" customWidth="1"/>
    <col min="5" max="7" width="20" style="8" customWidth="1"/>
    <col min="8" max="8" width="32" style="8" customWidth="1"/>
    <col min="9" max="9" width="18" style="8" customWidth="1"/>
    <col min="10" max="10" width="22" style="8" customWidth="1"/>
    <col min="11" max="15" width="14" style="8" customWidth="1"/>
    <col min="16" max="17" width="38" style="8" customWidth="1"/>
    <col min="18" max="16384" width="9" style="8"/>
  </cols>
  <sheetData>
    <row r="1" spans="1:17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 ht="24" customHeight="1">
      <c r="A2" s="7"/>
      <c r="B2" s="7"/>
      <c r="C2" s="26" t="s">
        <v>236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 ht="24" customHeight="1">
      <c r="A3" s="7"/>
      <c r="B3" s="7"/>
      <c r="C3" s="27" t="s">
        <v>51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</row>
    <row r="4" spans="1:17" ht="24" customHeight="1">
      <c r="A4" s="7"/>
      <c r="B4" s="7"/>
      <c r="C4" s="7" t="s">
        <v>52</v>
      </c>
      <c r="D4" s="28" t="str">
        <f>Parametry!$G$9</f>
        <v>Bazowy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ht="38.1" customHeight="1">
      <c r="A8" s="7"/>
      <c r="B8" s="7"/>
      <c r="C8" s="21" t="s">
        <v>237</v>
      </c>
      <c r="D8" s="21" t="s">
        <v>238</v>
      </c>
      <c r="E8" s="21" t="s">
        <v>239</v>
      </c>
      <c r="F8" s="21" t="s">
        <v>240</v>
      </c>
      <c r="G8" s="21" t="s">
        <v>241</v>
      </c>
      <c r="H8" s="21" t="s">
        <v>242</v>
      </c>
      <c r="I8" s="21" t="s">
        <v>243</v>
      </c>
      <c r="J8" s="21" t="s">
        <v>244</v>
      </c>
      <c r="K8" s="7"/>
      <c r="L8" s="21" t="s">
        <v>109</v>
      </c>
      <c r="M8" s="21" t="s">
        <v>8</v>
      </c>
      <c r="N8" s="21" t="s">
        <v>245</v>
      </c>
      <c r="O8" s="21" t="s">
        <v>85</v>
      </c>
      <c r="P8" s="21" t="s">
        <v>179</v>
      </c>
      <c r="Q8" s="21" t="s">
        <v>246</v>
      </c>
    </row>
    <row r="9" spans="1:17" ht="24" customHeight="1">
      <c r="A9" s="7"/>
      <c r="B9" s="7"/>
      <c r="C9" s="3" t="s">
        <v>247</v>
      </c>
      <c r="D9" s="2">
        <v>46402</v>
      </c>
      <c r="E9" s="3" t="s">
        <v>112</v>
      </c>
      <c r="F9" s="3"/>
      <c r="G9" s="3" t="s">
        <v>201</v>
      </c>
      <c r="H9" s="3" t="s">
        <v>248</v>
      </c>
      <c r="I9" s="6">
        <v>18000</v>
      </c>
      <c r="J9" s="3" t="s">
        <v>249</v>
      </c>
      <c r="K9" s="7"/>
      <c r="L9" s="13" t="str">
        <f>IF(C9="","",IF(COUNTIFS(Parametry!$C$54:$C$113,E9)=1,INDEX(Parametry!$D$54:$D$113,MATCH(E9,Parametry!$C$54:$C$113,0)),""))</f>
        <v>IT01</v>
      </c>
      <c r="M9" s="7">
        <f t="shared" ref="M9:M72" si="0">IF(ISNUMBER(D9),MONTH(D9),0)</f>
        <v>1</v>
      </c>
      <c r="N9" s="13">
        <f>IF(AND(ISNUMBER(D9),ISNUMBER(Parametry!$G$6)),IF(AND(YEAR(D9)=Parametry!$G$6,M9&lt;=Parametry!$G$7),1,0),0)</f>
        <v>1</v>
      </c>
      <c r="O9" s="13">
        <f>IF(C9="",IF(COUNTA(D9:J9)&gt;0,1,0),IF(OR(COUNTIFS($C$9:$C$1008,C9)&lt;&gt;1,NOT(ISNUMBER(D9)),NOT(ISNUMBER(I9)),L9="",AND(F9&lt;&gt;"",COUNTIFS(Umowy!$C$9:$C$108,F9,Umowy!$D$9:$D$108,L9)&lt;&gt;1)),1,0))</f>
        <v>0</v>
      </c>
      <c r="P9" s="7" t="str">
        <f t="shared" ref="P9:P72" si="1">IF(O9=0,"",IF(C9="","Missing RowID",IF(COUNTIFS($C$9:$C$1008,C9)&lt;&gt;1,"Duplicate RowID",IF(L9="","Unmapped ERPKey",IF(NOT(ISNUMBER(D9)),"Invalid Date",IF(NOT(ISNUMBER(I9)),"Invalid AmountPLN","CommitmentID / BudgetID"))))))</f>
        <v/>
      </c>
      <c r="Q9" s="7" t="str">
        <f t="shared" ref="Q9:Q72" si="2">IF(C9="","",IF(N9=1,"","Nie ujęto w wykonaniu okresu"))</f>
        <v/>
      </c>
    </row>
    <row r="10" spans="1:17" ht="24" customHeight="1">
      <c r="A10" s="7"/>
      <c r="B10" s="7"/>
      <c r="C10" s="3" t="s">
        <v>250</v>
      </c>
      <c r="D10" s="2">
        <v>46402</v>
      </c>
      <c r="E10" s="3" t="s">
        <v>118</v>
      </c>
      <c r="F10" s="3"/>
      <c r="G10" s="3" t="s">
        <v>204</v>
      </c>
      <c r="H10" s="3" t="s">
        <v>251</v>
      </c>
      <c r="I10" s="6">
        <v>3000</v>
      </c>
      <c r="J10" s="3" t="s">
        <v>249</v>
      </c>
      <c r="K10" s="7"/>
      <c r="L10" s="13" t="str">
        <f>IF(C10="","",IF(COUNTIFS(Parametry!$C$54:$C$113,E10)=1,INDEX(Parametry!$D$54:$D$113,MATCH(E10,Parametry!$C$54:$C$113,0)),""))</f>
        <v>IT03</v>
      </c>
      <c r="M10" s="7">
        <f t="shared" si="0"/>
        <v>1</v>
      </c>
      <c r="N10" s="13">
        <f>IF(AND(ISNUMBER(D10),ISNUMBER(Parametry!$G$6)),IF(AND(YEAR(D10)=Parametry!$G$6,M10&lt;=Parametry!$G$7),1,0),0)</f>
        <v>1</v>
      </c>
      <c r="O10" s="13">
        <f>IF(C10="",IF(COUNTA(D10:J10)&gt;0,1,0),IF(OR(COUNTIFS($C$9:$C$1008,C10)&lt;&gt;1,NOT(ISNUMBER(D10)),NOT(ISNUMBER(I10)),L10="",AND(F10&lt;&gt;"",COUNTIFS(Umowy!$C$9:$C$108,F10,Umowy!$D$9:$D$108,L10)&lt;&gt;1)),1,0))</f>
        <v>0</v>
      </c>
      <c r="P10" s="7" t="str">
        <f t="shared" si="1"/>
        <v/>
      </c>
      <c r="Q10" s="7" t="str">
        <f t="shared" si="2"/>
        <v/>
      </c>
    </row>
    <row r="11" spans="1:17" ht="24" customHeight="1">
      <c r="A11" s="7"/>
      <c r="B11" s="7"/>
      <c r="C11" s="3" t="s">
        <v>252</v>
      </c>
      <c r="D11" s="2">
        <v>46402</v>
      </c>
      <c r="E11" s="3" t="s">
        <v>121</v>
      </c>
      <c r="F11" s="3"/>
      <c r="G11" s="3" t="s">
        <v>206</v>
      </c>
      <c r="H11" s="3" t="s">
        <v>253</v>
      </c>
      <c r="I11" s="6">
        <v>5000</v>
      </c>
      <c r="J11" s="3" t="s">
        <v>249</v>
      </c>
      <c r="K11" s="7"/>
      <c r="L11" s="13" t="str">
        <f>IF(C11="","",IF(COUNTIFS(Parametry!$C$54:$C$113,E11)=1,INDEX(Parametry!$D$54:$D$113,MATCH(E11,Parametry!$C$54:$C$113,0)),""))</f>
        <v>IT04</v>
      </c>
      <c r="M11" s="7">
        <f t="shared" si="0"/>
        <v>1</v>
      </c>
      <c r="N11" s="13">
        <f>IF(AND(ISNUMBER(D11),ISNUMBER(Parametry!$G$6)),IF(AND(YEAR(D11)=Parametry!$G$6,M11&lt;=Parametry!$G$7),1,0),0)</f>
        <v>1</v>
      </c>
      <c r="O11" s="13">
        <f>IF(C11="",IF(COUNTA(D11:J11)&gt;0,1,0),IF(OR(COUNTIFS($C$9:$C$1008,C11)&lt;&gt;1,NOT(ISNUMBER(D11)),NOT(ISNUMBER(I11)),L11="",AND(F11&lt;&gt;"",COUNTIFS(Umowy!$C$9:$C$108,F11,Umowy!$D$9:$D$108,L11)&lt;&gt;1)),1,0))</f>
        <v>0</v>
      </c>
      <c r="P11" s="7" t="str">
        <f t="shared" si="1"/>
        <v/>
      </c>
      <c r="Q11" s="7" t="str">
        <f t="shared" si="2"/>
        <v/>
      </c>
    </row>
    <row r="12" spans="1:17" ht="24" customHeight="1">
      <c r="A12" s="7"/>
      <c r="B12" s="7"/>
      <c r="C12" s="3" t="s">
        <v>254</v>
      </c>
      <c r="D12" s="2">
        <v>46402</v>
      </c>
      <c r="E12" s="3" t="s">
        <v>133</v>
      </c>
      <c r="F12" s="3"/>
      <c r="G12" s="3" t="s">
        <v>255</v>
      </c>
      <c r="H12" s="3" t="s">
        <v>256</v>
      </c>
      <c r="I12" s="6">
        <v>6000</v>
      </c>
      <c r="J12" s="3" t="s">
        <v>249</v>
      </c>
      <c r="K12" s="7"/>
      <c r="L12" s="13" t="str">
        <f>IF(C12="","",IF(COUNTIFS(Parametry!$C$54:$C$113,E12)=1,INDEX(Parametry!$D$54:$D$113,MATCH(E12,Parametry!$C$54:$C$113,0)),""))</f>
        <v>IT08</v>
      </c>
      <c r="M12" s="7">
        <f t="shared" si="0"/>
        <v>1</v>
      </c>
      <c r="N12" s="13">
        <f>IF(AND(ISNUMBER(D12),ISNUMBER(Parametry!$G$6)),IF(AND(YEAR(D12)=Parametry!$G$6,M12&lt;=Parametry!$G$7),1,0),0)</f>
        <v>1</v>
      </c>
      <c r="O12" s="13">
        <f>IF(C12="",IF(COUNTA(D12:J12)&gt;0,1,0),IF(OR(COUNTIFS($C$9:$C$1008,C12)&lt;&gt;1,NOT(ISNUMBER(D12)),NOT(ISNUMBER(I12)),L12="",AND(F12&lt;&gt;"",COUNTIFS(Umowy!$C$9:$C$108,F12,Umowy!$D$9:$D$108,L12)&lt;&gt;1)),1,0))</f>
        <v>0</v>
      </c>
      <c r="P12" s="7" t="str">
        <f t="shared" si="1"/>
        <v/>
      </c>
      <c r="Q12" s="7" t="str">
        <f t="shared" si="2"/>
        <v/>
      </c>
    </row>
    <row r="13" spans="1:17" ht="24" customHeight="1">
      <c r="A13" s="7"/>
      <c r="B13" s="7"/>
      <c r="C13" s="3" t="s">
        <v>257</v>
      </c>
      <c r="D13" s="2">
        <v>46402</v>
      </c>
      <c r="E13" s="3" t="s">
        <v>136</v>
      </c>
      <c r="F13" s="3"/>
      <c r="G13" s="3" t="s">
        <v>258</v>
      </c>
      <c r="H13" s="3" t="s">
        <v>259</v>
      </c>
      <c r="I13" s="6">
        <v>32000</v>
      </c>
      <c r="J13" s="3" t="s">
        <v>249</v>
      </c>
      <c r="K13" s="7"/>
      <c r="L13" s="13" t="str">
        <f>IF(C13="","",IF(COUNTIFS(Parametry!$C$54:$C$113,E13)=1,INDEX(Parametry!$D$54:$D$113,MATCH(E13,Parametry!$C$54:$C$113,0)),""))</f>
        <v>IT09</v>
      </c>
      <c r="M13" s="7">
        <f t="shared" si="0"/>
        <v>1</v>
      </c>
      <c r="N13" s="13">
        <f>IF(AND(ISNUMBER(D13),ISNUMBER(Parametry!$G$6)),IF(AND(YEAR(D13)=Parametry!$G$6,M13&lt;=Parametry!$G$7),1,0),0)</f>
        <v>1</v>
      </c>
      <c r="O13" s="13">
        <f>IF(C13="",IF(COUNTA(D13:J13)&gt;0,1,0),IF(OR(COUNTIFS($C$9:$C$1008,C13)&lt;&gt;1,NOT(ISNUMBER(D13)),NOT(ISNUMBER(I13)),L13="",AND(F13&lt;&gt;"",COUNTIFS(Umowy!$C$9:$C$108,F13,Umowy!$D$9:$D$108,L13)&lt;&gt;1)),1,0))</f>
        <v>0</v>
      </c>
      <c r="P13" s="7" t="str">
        <f t="shared" si="1"/>
        <v/>
      </c>
      <c r="Q13" s="7" t="str">
        <f t="shared" si="2"/>
        <v/>
      </c>
    </row>
    <row r="14" spans="1:17" ht="24" customHeight="1">
      <c r="A14" s="7"/>
      <c r="B14" s="7"/>
      <c r="C14" s="3" t="s">
        <v>260</v>
      </c>
      <c r="D14" s="2">
        <v>46433</v>
      </c>
      <c r="E14" s="3" t="s">
        <v>112</v>
      </c>
      <c r="F14" s="3"/>
      <c r="G14" s="3" t="s">
        <v>201</v>
      </c>
      <c r="H14" s="3" t="s">
        <v>248</v>
      </c>
      <c r="I14" s="6">
        <v>18000</v>
      </c>
      <c r="J14" s="3" t="s">
        <v>249</v>
      </c>
      <c r="K14" s="7"/>
      <c r="L14" s="13" t="str">
        <f>IF(C14="","",IF(COUNTIFS(Parametry!$C$54:$C$113,E14)=1,INDEX(Parametry!$D$54:$D$113,MATCH(E14,Parametry!$C$54:$C$113,0)),""))</f>
        <v>IT01</v>
      </c>
      <c r="M14" s="7">
        <f t="shared" si="0"/>
        <v>2</v>
      </c>
      <c r="N14" s="13">
        <f>IF(AND(ISNUMBER(D14),ISNUMBER(Parametry!$G$6)),IF(AND(YEAR(D14)=Parametry!$G$6,M14&lt;=Parametry!$G$7),1,0),0)</f>
        <v>1</v>
      </c>
      <c r="O14" s="13">
        <f>IF(C14="",IF(COUNTA(D14:J14)&gt;0,1,0),IF(OR(COUNTIFS($C$9:$C$1008,C14)&lt;&gt;1,NOT(ISNUMBER(D14)),NOT(ISNUMBER(I14)),L14="",AND(F14&lt;&gt;"",COUNTIFS(Umowy!$C$9:$C$108,F14,Umowy!$D$9:$D$108,L14)&lt;&gt;1)),1,0))</f>
        <v>0</v>
      </c>
      <c r="P14" s="7" t="str">
        <f t="shared" si="1"/>
        <v/>
      </c>
      <c r="Q14" s="7" t="str">
        <f t="shared" si="2"/>
        <v/>
      </c>
    </row>
    <row r="15" spans="1:17" ht="24" customHeight="1">
      <c r="A15" s="7"/>
      <c r="B15" s="7"/>
      <c r="C15" s="3" t="s">
        <v>261</v>
      </c>
      <c r="D15" s="2">
        <v>46433</v>
      </c>
      <c r="E15" s="3" t="s">
        <v>118</v>
      </c>
      <c r="F15" s="3"/>
      <c r="G15" s="3" t="s">
        <v>204</v>
      </c>
      <c r="H15" s="3" t="s">
        <v>251</v>
      </c>
      <c r="I15" s="6">
        <v>3000</v>
      </c>
      <c r="J15" s="3" t="s">
        <v>249</v>
      </c>
      <c r="K15" s="7"/>
      <c r="L15" s="13" t="str">
        <f>IF(C15="","",IF(COUNTIFS(Parametry!$C$54:$C$113,E15)=1,INDEX(Parametry!$D$54:$D$113,MATCH(E15,Parametry!$C$54:$C$113,0)),""))</f>
        <v>IT03</v>
      </c>
      <c r="M15" s="7">
        <f t="shared" si="0"/>
        <v>2</v>
      </c>
      <c r="N15" s="13">
        <f>IF(AND(ISNUMBER(D15),ISNUMBER(Parametry!$G$6)),IF(AND(YEAR(D15)=Parametry!$G$6,M15&lt;=Parametry!$G$7),1,0),0)</f>
        <v>1</v>
      </c>
      <c r="O15" s="13">
        <f>IF(C15="",IF(COUNTA(D15:J15)&gt;0,1,0),IF(OR(COUNTIFS($C$9:$C$1008,C15)&lt;&gt;1,NOT(ISNUMBER(D15)),NOT(ISNUMBER(I15)),L15="",AND(F15&lt;&gt;"",COUNTIFS(Umowy!$C$9:$C$108,F15,Umowy!$D$9:$D$108,L15)&lt;&gt;1)),1,0))</f>
        <v>0</v>
      </c>
      <c r="P15" s="7" t="str">
        <f t="shared" si="1"/>
        <v/>
      </c>
      <c r="Q15" s="7" t="str">
        <f t="shared" si="2"/>
        <v/>
      </c>
    </row>
    <row r="16" spans="1:17" ht="24" customHeight="1">
      <c r="A16" s="7"/>
      <c r="B16" s="7"/>
      <c r="C16" s="3" t="s">
        <v>262</v>
      </c>
      <c r="D16" s="2">
        <v>46433</v>
      </c>
      <c r="E16" s="3" t="s">
        <v>121</v>
      </c>
      <c r="F16" s="3"/>
      <c r="G16" s="3" t="s">
        <v>206</v>
      </c>
      <c r="H16" s="3" t="s">
        <v>253</v>
      </c>
      <c r="I16" s="6">
        <v>5000</v>
      </c>
      <c r="J16" s="3" t="s">
        <v>249</v>
      </c>
      <c r="K16" s="7"/>
      <c r="L16" s="13" t="str">
        <f>IF(C16="","",IF(COUNTIFS(Parametry!$C$54:$C$113,E16)=1,INDEX(Parametry!$D$54:$D$113,MATCH(E16,Parametry!$C$54:$C$113,0)),""))</f>
        <v>IT04</v>
      </c>
      <c r="M16" s="7">
        <f t="shared" si="0"/>
        <v>2</v>
      </c>
      <c r="N16" s="13">
        <f>IF(AND(ISNUMBER(D16),ISNUMBER(Parametry!$G$6)),IF(AND(YEAR(D16)=Parametry!$G$6,M16&lt;=Parametry!$G$7),1,0),0)</f>
        <v>1</v>
      </c>
      <c r="O16" s="13">
        <f>IF(C16="",IF(COUNTA(D16:J16)&gt;0,1,0),IF(OR(COUNTIFS($C$9:$C$1008,C16)&lt;&gt;1,NOT(ISNUMBER(D16)),NOT(ISNUMBER(I16)),L16="",AND(F16&lt;&gt;"",COUNTIFS(Umowy!$C$9:$C$108,F16,Umowy!$D$9:$D$108,L16)&lt;&gt;1)),1,0))</f>
        <v>0</v>
      </c>
      <c r="P16" s="7" t="str">
        <f t="shared" si="1"/>
        <v/>
      </c>
      <c r="Q16" s="7" t="str">
        <f t="shared" si="2"/>
        <v/>
      </c>
    </row>
    <row r="17" spans="1:17" ht="24" customHeight="1">
      <c r="A17" s="7"/>
      <c r="B17" s="7"/>
      <c r="C17" s="3" t="s">
        <v>263</v>
      </c>
      <c r="D17" s="2">
        <v>46433</v>
      </c>
      <c r="E17" s="3" t="s">
        <v>133</v>
      </c>
      <c r="F17" s="3"/>
      <c r="G17" s="3" t="s">
        <v>255</v>
      </c>
      <c r="H17" s="3" t="s">
        <v>256</v>
      </c>
      <c r="I17" s="6">
        <v>6000</v>
      </c>
      <c r="J17" s="3" t="s">
        <v>249</v>
      </c>
      <c r="K17" s="7"/>
      <c r="L17" s="13" t="str">
        <f>IF(C17="","",IF(COUNTIFS(Parametry!$C$54:$C$113,E17)=1,INDEX(Parametry!$D$54:$D$113,MATCH(E17,Parametry!$C$54:$C$113,0)),""))</f>
        <v>IT08</v>
      </c>
      <c r="M17" s="7">
        <f t="shared" si="0"/>
        <v>2</v>
      </c>
      <c r="N17" s="13">
        <f>IF(AND(ISNUMBER(D17),ISNUMBER(Parametry!$G$6)),IF(AND(YEAR(D17)=Parametry!$G$6,M17&lt;=Parametry!$G$7),1,0),0)</f>
        <v>1</v>
      </c>
      <c r="O17" s="13">
        <f>IF(C17="",IF(COUNTA(D17:J17)&gt;0,1,0),IF(OR(COUNTIFS($C$9:$C$1008,C17)&lt;&gt;1,NOT(ISNUMBER(D17)),NOT(ISNUMBER(I17)),L17="",AND(F17&lt;&gt;"",COUNTIFS(Umowy!$C$9:$C$108,F17,Umowy!$D$9:$D$108,L17)&lt;&gt;1)),1,0))</f>
        <v>0</v>
      </c>
      <c r="P17" s="7" t="str">
        <f t="shared" si="1"/>
        <v/>
      </c>
      <c r="Q17" s="7" t="str">
        <f t="shared" si="2"/>
        <v/>
      </c>
    </row>
    <row r="18" spans="1:17" ht="24" customHeight="1">
      <c r="A18" s="7"/>
      <c r="B18" s="7"/>
      <c r="C18" s="3" t="s">
        <v>264</v>
      </c>
      <c r="D18" s="2">
        <v>46433</v>
      </c>
      <c r="E18" s="3" t="s">
        <v>136</v>
      </c>
      <c r="F18" s="3"/>
      <c r="G18" s="3" t="s">
        <v>258</v>
      </c>
      <c r="H18" s="3" t="s">
        <v>259</v>
      </c>
      <c r="I18" s="6">
        <v>32000</v>
      </c>
      <c r="J18" s="3" t="s">
        <v>249</v>
      </c>
      <c r="K18" s="7"/>
      <c r="L18" s="13" t="str">
        <f>IF(C18="","",IF(COUNTIFS(Parametry!$C$54:$C$113,E18)=1,INDEX(Parametry!$D$54:$D$113,MATCH(E18,Parametry!$C$54:$C$113,0)),""))</f>
        <v>IT09</v>
      </c>
      <c r="M18" s="7">
        <f t="shared" si="0"/>
        <v>2</v>
      </c>
      <c r="N18" s="13">
        <f>IF(AND(ISNUMBER(D18),ISNUMBER(Parametry!$G$6)),IF(AND(YEAR(D18)=Parametry!$G$6,M18&lt;=Parametry!$G$7),1,0),0)</f>
        <v>1</v>
      </c>
      <c r="O18" s="13">
        <f>IF(C18="",IF(COUNTA(D18:J18)&gt;0,1,0),IF(OR(COUNTIFS($C$9:$C$1008,C18)&lt;&gt;1,NOT(ISNUMBER(D18)),NOT(ISNUMBER(I18)),L18="",AND(F18&lt;&gt;"",COUNTIFS(Umowy!$C$9:$C$108,F18,Umowy!$D$9:$D$108,L18)&lt;&gt;1)),1,0))</f>
        <v>0</v>
      </c>
      <c r="P18" s="7" t="str">
        <f t="shared" si="1"/>
        <v/>
      </c>
      <c r="Q18" s="7" t="str">
        <f t="shared" si="2"/>
        <v/>
      </c>
    </row>
    <row r="19" spans="1:17" ht="24" customHeight="1">
      <c r="A19" s="7"/>
      <c r="B19" s="7"/>
      <c r="C19" s="3" t="s">
        <v>265</v>
      </c>
      <c r="D19" s="2">
        <v>46461</v>
      </c>
      <c r="E19" s="3" t="s">
        <v>112</v>
      </c>
      <c r="F19" s="3"/>
      <c r="G19" s="3" t="s">
        <v>201</v>
      </c>
      <c r="H19" s="3" t="s">
        <v>248</v>
      </c>
      <c r="I19" s="6">
        <v>18000</v>
      </c>
      <c r="J19" s="3" t="s">
        <v>249</v>
      </c>
      <c r="K19" s="7"/>
      <c r="L19" s="13" t="str">
        <f>IF(C19="","",IF(COUNTIFS(Parametry!$C$54:$C$113,E19)=1,INDEX(Parametry!$D$54:$D$113,MATCH(E19,Parametry!$C$54:$C$113,0)),""))</f>
        <v>IT01</v>
      </c>
      <c r="M19" s="7">
        <f t="shared" si="0"/>
        <v>3</v>
      </c>
      <c r="N19" s="13">
        <f>IF(AND(ISNUMBER(D19),ISNUMBER(Parametry!$G$6)),IF(AND(YEAR(D19)=Parametry!$G$6,M19&lt;=Parametry!$G$7),1,0),0)</f>
        <v>1</v>
      </c>
      <c r="O19" s="13">
        <f>IF(C19="",IF(COUNTA(D19:J19)&gt;0,1,0),IF(OR(COUNTIFS($C$9:$C$1008,C19)&lt;&gt;1,NOT(ISNUMBER(D19)),NOT(ISNUMBER(I19)),L19="",AND(F19&lt;&gt;"",COUNTIFS(Umowy!$C$9:$C$108,F19,Umowy!$D$9:$D$108,L19)&lt;&gt;1)),1,0))</f>
        <v>0</v>
      </c>
      <c r="P19" s="7" t="str">
        <f t="shared" si="1"/>
        <v/>
      </c>
      <c r="Q19" s="7" t="str">
        <f t="shared" si="2"/>
        <v/>
      </c>
    </row>
    <row r="20" spans="1:17" ht="24" customHeight="1">
      <c r="A20" s="7"/>
      <c r="B20" s="7"/>
      <c r="C20" s="3" t="s">
        <v>266</v>
      </c>
      <c r="D20" s="2">
        <v>46461</v>
      </c>
      <c r="E20" s="3" t="s">
        <v>118</v>
      </c>
      <c r="F20" s="3"/>
      <c r="G20" s="3" t="s">
        <v>204</v>
      </c>
      <c r="H20" s="3" t="s">
        <v>251</v>
      </c>
      <c r="I20" s="6">
        <v>3000</v>
      </c>
      <c r="J20" s="3" t="s">
        <v>249</v>
      </c>
      <c r="K20" s="7"/>
      <c r="L20" s="13" t="str">
        <f>IF(C20="","",IF(COUNTIFS(Parametry!$C$54:$C$113,E20)=1,INDEX(Parametry!$D$54:$D$113,MATCH(E20,Parametry!$C$54:$C$113,0)),""))</f>
        <v>IT03</v>
      </c>
      <c r="M20" s="7">
        <f t="shared" si="0"/>
        <v>3</v>
      </c>
      <c r="N20" s="13">
        <f>IF(AND(ISNUMBER(D20),ISNUMBER(Parametry!$G$6)),IF(AND(YEAR(D20)=Parametry!$G$6,M20&lt;=Parametry!$G$7),1,0),0)</f>
        <v>1</v>
      </c>
      <c r="O20" s="13">
        <f>IF(C20="",IF(COUNTA(D20:J20)&gt;0,1,0),IF(OR(COUNTIFS($C$9:$C$1008,C20)&lt;&gt;1,NOT(ISNUMBER(D20)),NOT(ISNUMBER(I20)),L20="",AND(F20&lt;&gt;"",COUNTIFS(Umowy!$C$9:$C$108,F20,Umowy!$D$9:$D$108,L20)&lt;&gt;1)),1,0))</f>
        <v>0</v>
      </c>
      <c r="P20" s="7" t="str">
        <f t="shared" si="1"/>
        <v/>
      </c>
      <c r="Q20" s="7" t="str">
        <f t="shared" si="2"/>
        <v/>
      </c>
    </row>
    <row r="21" spans="1:17" ht="24" customHeight="1">
      <c r="A21" s="7"/>
      <c r="B21" s="7"/>
      <c r="C21" s="3" t="s">
        <v>267</v>
      </c>
      <c r="D21" s="2">
        <v>46461</v>
      </c>
      <c r="E21" s="3" t="s">
        <v>121</v>
      </c>
      <c r="F21" s="3"/>
      <c r="G21" s="3" t="s">
        <v>206</v>
      </c>
      <c r="H21" s="3" t="s">
        <v>253</v>
      </c>
      <c r="I21" s="6">
        <v>5000</v>
      </c>
      <c r="J21" s="3" t="s">
        <v>249</v>
      </c>
      <c r="K21" s="7"/>
      <c r="L21" s="13" t="str">
        <f>IF(C21="","",IF(COUNTIFS(Parametry!$C$54:$C$113,E21)=1,INDEX(Parametry!$D$54:$D$113,MATCH(E21,Parametry!$C$54:$C$113,0)),""))</f>
        <v>IT04</v>
      </c>
      <c r="M21" s="7">
        <f t="shared" si="0"/>
        <v>3</v>
      </c>
      <c r="N21" s="13">
        <f>IF(AND(ISNUMBER(D21),ISNUMBER(Parametry!$G$6)),IF(AND(YEAR(D21)=Parametry!$G$6,M21&lt;=Parametry!$G$7),1,0),0)</f>
        <v>1</v>
      </c>
      <c r="O21" s="13">
        <f>IF(C21="",IF(COUNTA(D21:J21)&gt;0,1,0),IF(OR(COUNTIFS($C$9:$C$1008,C21)&lt;&gt;1,NOT(ISNUMBER(D21)),NOT(ISNUMBER(I21)),L21="",AND(F21&lt;&gt;"",COUNTIFS(Umowy!$C$9:$C$108,F21,Umowy!$D$9:$D$108,L21)&lt;&gt;1)),1,0))</f>
        <v>0</v>
      </c>
      <c r="P21" s="7" t="str">
        <f t="shared" si="1"/>
        <v/>
      </c>
      <c r="Q21" s="7" t="str">
        <f t="shared" si="2"/>
        <v/>
      </c>
    </row>
    <row r="22" spans="1:17" ht="24" customHeight="1">
      <c r="A22" s="7"/>
      <c r="B22" s="7"/>
      <c r="C22" s="3" t="s">
        <v>268</v>
      </c>
      <c r="D22" s="2">
        <v>46461</v>
      </c>
      <c r="E22" s="3" t="s">
        <v>133</v>
      </c>
      <c r="F22" s="3"/>
      <c r="G22" s="3" t="s">
        <v>255</v>
      </c>
      <c r="H22" s="3" t="s">
        <v>256</v>
      </c>
      <c r="I22" s="6">
        <v>6000</v>
      </c>
      <c r="J22" s="3" t="s">
        <v>249</v>
      </c>
      <c r="K22" s="7"/>
      <c r="L22" s="13" t="str">
        <f>IF(C22="","",IF(COUNTIFS(Parametry!$C$54:$C$113,E22)=1,INDEX(Parametry!$D$54:$D$113,MATCH(E22,Parametry!$C$54:$C$113,0)),""))</f>
        <v>IT08</v>
      </c>
      <c r="M22" s="7">
        <f t="shared" si="0"/>
        <v>3</v>
      </c>
      <c r="N22" s="13">
        <f>IF(AND(ISNUMBER(D22),ISNUMBER(Parametry!$G$6)),IF(AND(YEAR(D22)=Parametry!$G$6,M22&lt;=Parametry!$G$7),1,0),0)</f>
        <v>1</v>
      </c>
      <c r="O22" s="13">
        <f>IF(C22="",IF(COUNTA(D22:J22)&gt;0,1,0),IF(OR(COUNTIFS($C$9:$C$1008,C22)&lt;&gt;1,NOT(ISNUMBER(D22)),NOT(ISNUMBER(I22)),L22="",AND(F22&lt;&gt;"",COUNTIFS(Umowy!$C$9:$C$108,F22,Umowy!$D$9:$D$108,L22)&lt;&gt;1)),1,0))</f>
        <v>0</v>
      </c>
      <c r="P22" s="7" t="str">
        <f t="shared" si="1"/>
        <v/>
      </c>
      <c r="Q22" s="7" t="str">
        <f t="shared" si="2"/>
        <v/>
      </c>
    </row>
    <row r="23" spans="1:17" ht="24" customHeight="1">
      <c r="A23" s="7"/>
      <c r="B23" s="7"/>
      <c r="C23" s="3" t="s">
        <v>269</v>
      </c>
      <c r="D23" s="2">
        <v>46461</v>
      </c>
      <c r="E23" s="3" t="s">
        <v>136</v>
      </c>
      <c r="F23" s="3"/>
      <c r="G23" s="3" t="s">
        <v>258</v>
      </c>
      <c r="H23" s="3" t="s">
        <v>259</v>
      </c>
      <c r="I23" s="6">
        <v>32000</v>
      </c>
      <c r="J23" s="3" t="s">
        <v>249</v>
      </c>
      <c r="K23" s="7"/>
      <c r="L23" s="13" t="str">
        <f>IF(C23="","",IF(COUNTIFS(Parametry!$C$54:$C$113,E23)=1,INDEX(Parametry!$D$54:$D$113,MATCH(E23,Parametry!$C$54:$C$113,0)),""))</f>
        <v>IT09</v>
      </c>
      <c r="M23" s="7">
        <f t="shared" si="0"/>
        <v>3</v>
      </c>
      <c r="N23" s="13">
        <f>IF(AND(ISNUMBER(D23),ISNUMBER(Parametry!$G$6)),IF(AND(YEAR(D23)=Parametry!$G$6,M23&lt;=Parametry!$G$7),1,0),0)</f>
        <v>1</v>
      </c>
      <c r="O23" s="13">
        <f>IF(C23="",IF(COUNTA(D23:J23)&gt;0,1,0),IF(OR(COUNTIFS($C$9:$C$1008,C23)&lt;&gt;1,NOT(ISNUMBER(D23)),NOT(ISNUMBER(I23)),L23="",AND(F23&lt;&gt;"",COUNTIFS(Umowy!$C$9:$C$108,F23,Umowy!$D$9:$D$108,L23)&lt;&gt;1)),1,0))</f>
        <v>0</v>
      </c>
      <c r="P23" s="7" t="str">
        <f t="shared" si="1"/>
        <v/>
      </c>
      <c r="Q23" s="7" t="str">
        <f t="shared" si="2"/>
        <v/>
      </c>
    </row>
    <row r="24" spans="1:17" ht="24" customHeight="1">
      <c r="A24" s="7"/>
      <c r="B24" s="7"/>
      <c r="C24" s="3" t="s">
        <v>270</v>
      </c>
      <c r="D24" s="2">
        <v>46492</v>
      </c>
      <c r="E24" s="3" t="s">
        <v>112</v>
      </c>
      <c r="F24" s="3"/>
      <c r="G24" s="3" t="s">
        <v>201</v>
      </c>
      <c r="H24" s="3" t="s">
        <v>248</v>
      </c>
      <c r="I24" s="6">
        <v>18000</v>
      </c>
      <c r="J24" s="3" t="s">
        <v>249</v>
      </c>
      <c r="K24" s="7"/>
      <c r="L24" s="13" t="str">
        <f>IF(C24="","",IF(COUNTIFS(Parametry!$C$54:$C$113,E24)=1,INDEX(Parametry!$D$54:$D$113,MATCH(E24,Parametry!$C$54:$C$113,0)),""))</f>
        <v>IT01</v>
      </c>
      <c r="M24" s="7">
        <f t="shared" si="0"/>
        <v>4</v>
      </c>
      <c r="N24" s="13">
        <f>IF(AND(ISNUMBER(D24),ISNUMBER(Parametry!$G$6)),IF(AND(YEAR(D24)=Parametry!$G$6,M24&lt;=Parametry!$G$7),1,0),0)</f>
        <v>1</v>
      </c>
      <c r="O24" s="13">
        <f>IF(C24="",IF(COUNTA(D24:J24)&gt;0,1,0),IF(OR(COUNTIFS($C$9:$C$1008,C24)&lt;&gt;1,NOT(ISNUMBER(D24)),NOT(ISNUMBER(I24)),L24="",AND(F24&lt;&gt;"",COUNTIFS(Umowy!$C$9:$C$108,F24,Umowy!$D$9:$D$108,L24)&lt;&gt;1)),1,0))</f>
        <v>0</v>
      </c>
      <c r="P24" s="7" t="str">
        <f t="shared" si="1"/>
        <v/>
      </c>
      <c r="Q24" s="7" t="str">
        <f t="shared" si="2"/>
        <v/>
      </c>
    </row>
    <row r="25" spans="1:17" ht="24" customHeight="1">
      <c r="A25" s="7"/>
      <c r="B25" s="7"/>
      <c r="C25" s="3" t="s">
        <v>271</v>
      </c>
      <c r="D25" s="2">
        <v>46492</v>
      </c>
      <c r="E25" s="3" t="s">
        <v>118</v>
      </c>
      <c r="F25" s="3"/>
      <c r="G25" s="3" t="s">
        <v>204</v>
      </c>
      <c r="H25" s="3" t="s">
        <v>251</v>
      </c>
      <c r="I25" s="6">
        <v>3000</v>
      </c>
      <c r="J25" s="3" t="s">
        <v>249</v>
      </c>
      <c r="K25" s="7"/>
      <c r="L25" s="13" t="str">
        <f>IF(C25="","",IF(COUNTIFS(Parametry!$C$54:$C$113,E25)=1,INDEX(Parametry!$D$54:$D$113,MATCH(E25,Parametry!$C$54:$C$113,0)),""))</f>
        <v>IT03</v>
      </c>
      <c r="M25" s="7">
        <f t="shared" si="0"/>
        <v>4</v>
      </c>
      <c r="N25" s="13">
        <f>IF(AND(ISNUMBER(D25),ISNUMBER(Parametry!$G$6)),IF(AND(YEAR(D25)=Parametry!$G$6,M25&lt;=Parametry!$G$7),1,0),0)</f>
        <v>1</v>
      </c>
      <c r="O25" s="13">
        <f>IF(C25="",IF(COUNTA(D25:J25)&gt;0,1,0),IF(OR(COUNTIFS($C$9:$C$1008,C25)&lt;&gt;1,NOT(ISNUMBER(D25)),NOT(ISNUMBER(I25)),L25="",AND(F25&lt;&gt;"",COUNTIFS(Umowy!$C$9:$C$108,F25,Umowy!$D$9:$D$108,L25)&lt;&gt;1)),1,0))</f>
        <v>0</v>
      </c>
      <c r="P25" s="7" t="str">
        <f t="shared" si="1"/>
        <v/>
      </c>
      <c r="Q25" s="7" t="str">
        <f t="shared" si="2"/>
        <v/>
      </c>
    </row>
    <row r="26" spans="1:17" ht="24" customHeight="1">
      <c r="A26" s="7"/>
      <c r="B26" s="7"/>
      <c r="C26" s="3" t="s">
        <v>272</v>
      </c>
      <c r="D26" s="2">
        <v>46492</v>
      </c>
      <c r="E26" s="3" t="s">
        <v>121</v>
      </c>
      <c r="F26" s="3"/>
      <c r="G26" s="3" t="s">
        <v>206</v>
      </c>
      <c r="H26" s="3" t="s">
        <v>253</v>
      </c>
      <c r="I26" s="6">
        <v>5000</v>
      </c>
      <c r="J26" s="3" t="s">
        <v>249</v>
      </c>
      <c r="K26" s="7"/>
      <c r="L26" s="13" t="str">
        <f>IF(C26="","",IF(COUNTIFS(Parametry!$C$54:$C$113,E26)=1,INDEX(Parametry!$D$54:$D$113,MATCH(E26,Parametry!$C$54:$C$113,0)),""))</f>
        <v>IT04</v>
      </c>
      <c r="M26" s="7">
        <f t="shared" si="0"/>
        <v>4</v>
      </c>
      <c r="N26" s="13">
        <f>IF(AND(ISNUMBER(D26),ISNUMBER(Parametry!$G$6)),IF(AND(YEAR(D26)=Parametry!$G$6,M26&lt;=Parametry!$G$7),1,0),0)</f>
        <v>1</v>
      </c>
      <c r="O26" s="13">
        <f>IF(C26="",IF(COUNTA(D26:J26)&gt;0,1,0),IF(OR(COUNTIFS($C$9:$C$1008,C26)&lt;&gt;1,NOT(ISNUMBER(D26)),NOT(ISNUMBER(I26)),L26="",AND(F26&lt;&gt;"",COUNTIFS(Umowy!$C$9:$C$108,F26,Umowy!$D$9:$D$108,L26)&lt;&gt;1)),1,0))</f>
        <v>0</v>
      </c>
      <c r="P26" s="7" t="str">
        <f t="shared" si="1"/>
        <v/>
      </c>
      <c r="Q26" s="7" t="str">
        <f t="shared" si="2"/>
        <v/>
      </c>
    </row>
    <row r="27" spans="1:17" ht="24" customHeight="1">
      <c r="A27" s="7"/>
      <c r="B27" s="7"/>
      <c r="C27" s="3" t="s">
        <v>273</v>
      </c>
      <c r="D27" s="2">
        <v>46492</v>
      </c>
      <c r="E27" s="3" t="s">
        <v>133</v>
      </c>
      <c r="F27" s="3"/>
      <c r="G27" s="3" t="s">
        <v>255</v>
      </c>
      <c r="H27" s="3" t="s">
        <v>256</v>
      </c>
      <c r="I27" s="6">
        <v>6000</v>
      </c>
      <c r="J27" s="3" t="s">
        <v>249</v>
      </c>
      <c r="K27" s="7"/>
      <c r="L27" s="13" t="str">
        <f>IF(C27="","",IF(COUNTIFS(Parametry!$C$54:$C$113,E27)=1,INDEX(Parametry!$D$54:$D$113,MATCH(E27,Parametry!$C$54:$C$113,0)),""))</f>
        <v>IT08</v>
      </c>
      <c r="M27" s="7">
        <f t="shared" si="0"/>
        <v>4</v>
      </c>
      <c r="N27" s="13">
        <f>IF(AND(ISNUMBER(D27),ISNUMBER(Parametry!$G$6)),IF(AND(YEAR(D27)=Parametry!$G$6,M27&lt;=Parametry!$G$7),1,0),0)</f>
        <v>1</v>
      </c>
      <c r="O27" s="13">
        <f>IF(C27="",IF(COUNTA(D27:J27)&gt;0,1,0),IF(OR(COUNTIFS($C$9:$C$1008,C27)&lt;&gt;1,NOT(ISNUMBER(D27)),NOT(ISNUMBER(I27)),L27="",AND(F27&lt;&gt;"",COUNTIFS(Umowy!$C$9:$C$108,F27,Umowy!$D$9:$D$108,L27)&lt;&gt;1)),1,0))</f>
        <v>0</v>
      </c>
      <c r="P27" s="7" t="str">
        <f t="shared" si="1"/>
        <v/>
      </c>
      <c r="Q27" s="7" t="str">
        <f t="shared" si="2"/>
        <v/>
      </c>
    </row>
    <row r="28" spans="1:17" ht="24" customHeight="1">
      <c r="A28" s="7"/>
      <c r="B28" s="7"/>
      <c r="C28" s="3" t="s">
        <v>274</v>
      </c>
      <c r="D28" s="2">
        <v>46492</v>
      </c>
      <c r="E28" s="3" t="s">
        <v>136</v>
      </c>
      <c r="F28" s="3"/>
      <c r="G28" s="3" t="s">
        <v>258</v>
      </c>
      <c r="H28" s="3" t="s">
        <v>259</v>
      </c>
      <c r="I28" s="6">
        <v>32000</v>
      </c>
      <c r="J28" s="3" t="s">
        <v>249</v>
      </c>
      <c r="K28" s="7"/>
      <c r="L28" s="13" t="str">
        <f>IF(C28="","",IF(COUNTIFS(Parametry!$C$54:$C$113,E28)=1,INDEX(Parametry!$D$54:$D$113,MATCH(E28,Parametry!$C$54:$C$113,0)),""))</f>
        <v>IT09</v>
      </c>
      <c r="M28" s="7">
        <f t="shared" si="0"/>
        <v>4</v>
      </c>
      <c r="N28" s="13">
        <f>IF(AND(ISNUMBER(D28),ISNUMBER(Parametry!$G$6)),IF(AND(YEAR(D28)=Parametry!$G$6,M28&lt;=Parametry!$G$7),1,0),0)</f>
        <v>1</v>
      </c>
      <c r="O28" s="13">
        <f>IF(C28="",IF(COUNTA(D28:J28)&gt;0,1,0),IF(OR(COUNTIFS($C$9:$C$1008,C28)&lt;&gt;1,NOT(ISNUMBER(D28)),NOT(ISNUMBER(I28)),L28="",AND(F28&lt;&gt;"",COUNTIFS(Umowy!$C$9:$C$108,F28,Umowy!$D$9:$D$108,L28)&lt;&gt;1)),1,0))</f>
        <v>0</v>
      </c>
      <c r="P28" s="7" t="str">
        <f t="shared" si="1"/>
        <v/>
      </c>
      <c r="Q28" s="7" t="str">
        <f t="shared" si="2"/>
        <v/>
      </c>
    </row>
    <row r="29" spans="1:17" ht="24" customHeight="1">
      <c r="A29" s="7"/>
      <c r="B29" s="7"/>
      <c r="C29" s="3" t="s">
        <v>275</v>
      </c>
      <c r="D29" s="2">
        <v>46522</v>
      </c>
      <c r="E29" s="3" t="s">
        <v>112</v>
      </c>
      <c r="F29" s="3"/>
      <c r="G29" s="3" t="s">
        <v>201</v>
      </c>
      <c r="H29" s="3" t="s">
        <v>248</v>
      </c>
      <c r="I29" s="6">
        <v>18000</v>
      </c>
      <c r="J29" s="3" t="s">
        <v>249</v>
      </c>
      <c r="K29" s="7"/>
      <c r="L29" s="13" t="str">
        <f>IF(C29="","",IF(COUNTIFS(Parametry!$C$54:$C$113,E29)=1,INDEX(Parametry!$D$54:$D$113,MATCH(E29,Parametry!$C$54:$C$113,0)),""))</f>
        <v>IT01</v>
      </c>
      <c r="M29" s="7">
        <f t="shared" si="0"/>
        <v>5</v>
      </c>
      <c r="N29" s="13">
        <f>IF(AND(ISNUMBER(D29),ISNUMBER(Parametry!$G$6)),IF(AND(YEAR(D29)=Parametry!$G$6,M29&lt;=Parametry!$G$7),1,0),0)</f>
        <v>1</v>
      </c>
      <c r="O29" s="13">
        <f>IF(C29="",IF(COUNTA(D29:J29)&gt;0,1,0),IF(OR(COUNTIFS($C$9:$C$1008,C29)&lt;&gt;1,NOT(ISNUMBER(D29)),NOT(ISNUMBER(I29)),L29="",AND(F29&lt;&gt;"",COUNTIFS(Umowy!$C$9:$C$108,F29,Umowy!$D$9:$D$108,L29)&lt;&gt;1)),1,0))</f>
        <v>0</v>
      </c>
      <c r="P29" s="7" t="str">
        <f t="shared" si="1"/>
        <v/>
      </c>
      <c r="Q29" s="7" t="str">
        <f t="shared" si="2"/>
        <v/>
      </c>
    </row>
    <row r="30" spans="1:17" ht="24" customHeight="1">
      <c r="A30" s="7"/>
      <c r="B30" s="7"/>
      <c r="C30" s="3" t="s">
        <v>276</v>
      </c>
      <c r="D30" s="2">
        <v>46522</v>
      </c>
      <c r="E30" s="3" t="s">
        <v>118</v>
      </c>
      <c r="F30" s="3"/>
      <c r="G30" s="3" t="s">
        <v>204</v>
      </c>
      <c r="H30" s="3" t="s">
        <v>251</v>
      </c>
      <c r="I30" s="6">
        <v>3000</v>
      </c>
      <c r="J30" s="3" t="s">
        <v>249</v>
      </c>
      <c r="K30" s="7"/>
      <c r="L30" s="13" t="str">
        <f>IF(C30="","",IF(COUNTIFS(Parametry!$C$54:$C$113,E30)=1,INDEX(Parametry!$D$54:$D$113,MATCH(E30,Parametry!$C$54:$C$113,0)),""))</f>
        <v>IT03</v>
      </c>
      <c r="M30" s="7">
        <f t="shared" si="0"/>
        <v>5</v>
      </c>
      <c r="N30" s="13">
        <f>IF(AND(ISNUMBER(D30),ISNUMBER(Parametry!$G$6)),IF(AND(YEAR(D30)=Parametry!$G$6,M30&lt;=Parametry!$G$7),1,0),0)</f>
        <v>1</v>
      </c>
      <c r="O30" s="13">
        <f>IF(C30="",IF(COUNTA(D30:J30)&gt;0,1,0),IF(OR(COUNTIFS($C$9:$C$1008,C30)&lt;&gt;1,NOT(ISNUMBER(D30)),NOT(ISNUMBER(I30)),L30="",AND(F30&lt;&gt;"",COUNTIFS(Umowy!$C$9:$C$108,F30,Umowy!$D$9:$D$108,L30)&lt;&gt;1)),1,0))</f>
        <v>0</v>
      </c>
      <c r="P30" s="7" t="str">
        <f t="shared" si="1"/>
        <v/>
      </c>
      <c r="Q30" s="7" t="str">
        <f t="shared" si="2"/>
        <v/>
      </c>
    </row>
    <row r="31" spans="1:17" ht="24" customHeight="1">
      <c r="A31" s="7"/>
      <c r="B31" s="7"/>
      <c r="C31" s="3" t="s">
        <v>277</v>
      </c>
      <c r="D31" s="2">
        <v>46522</v>
      </c>
      <c r="E31" s="3" t="s">
        <v>121</v>
      </c>
      <c r="F31" s="3"/>
      <c r="G31" s="3" t="s">
        <v>206</v>
      </c>
      <c r="H31" s="3" t="s">
        <v>253</v>
      </c>
      <c r="I31" s="6">
        <v>5000</v>
      </c>
      <c r="J31" s="3" t="s">
        <v>249</v>
      </c>
      <c r="K31" s="7"/>
      <c r="L31" s="13" t="str">
        <f>IF(C31="","",IF(COUNTIFS(Parametry!$C$54:$C$113,E31)=1,INDEX(Parametry!$D$54:$D$113,MATCH(E31,Parametry!$C$54:$C$113,0)),""))</f>
        <v>IT04</v>
      </c>
      <c r="M31" s="7">
        <f t="shared" si="0"/>
        <v>5</v>
      </c>
      <c r="N31" s="13">
        <f>IF(AND(ISNUMBER(D31),ISNUMBER(Parametry!$G$6)),IF(AND(YEAR(D31)=Parametry!$G$6,M31&lt;=Parametry!$G$7),1,0),0)</f>
        <v>1</v>
      </c>
      <c r="O31" s="13">
        <f>IF(C31="",IF(COUNTA(D31:J31)&gt;0,1,0),IF(OR(COUNTIFS($C$9:$C$1008,C31)&lt;&gt;1,NOT(ISNUMBER(D31)),NOT(ISNUMBER(I31)),L31="",AND(F31&lt;&gt;"",COUNTIFS(Umowy!$C$9:$C$108,F31,Umowy!$D$9:$D$108,L31)&lt;&gt;1)),1,0))</f>
        <v>0</v>
      </c>
      <c r="P31" s="7" t="str">
        <f t="shared" si="1"/>
        <v/>
      </c>
      <c r="Q31" s="7" t="str">
        <f t="shared" si="2"/>
        <v/>
      </c>
    </row>
    <row r="32" spans="1:17" ht="24" customHeight="1">
      <c r="A32" s="7"/>
      <c r="B32" s="7"/>
      <c r="C32" s="3" t="s">
        <v>278</v>
      </c>
      <c r="D32" s="2">
        <v>46522</v>
      </c>
      <c r="E32" s="3" t="s">
        <v>133</v>
      </c>
      <c r="F32" s="3"/>
      <c r="G32" s="3" t="s">
        <v>255</v>
      </c>
      <c r="H32" s="3" t="s">
        <v>256</v>
      </c>
      <c r="I32" s="6">
        <v>6000</v>
      </c>
      <c r="J32" s="3" t="s">
        <v>249</v>
      </c>
      <c r="K32" s="7"/>
      <c r="L32" s="13" t="str">
        <f>IF(C32="","",IF(COUNTIFS(Parametry!$C$54:$C$113,E32)=1,INDEX(Parametry!$D$54:$D$113,MATCH(E32,Parametry!$C$54:$C$113,0)),""))</f>
        <v>IT08</v>
      </c>
      <c r="M32" s="7">
        <f t="shared" si="0"/>
        <v>5</v>
      </c>
      <c r="N32" s="13">
        <f>IF(AND(ISNUMBER(D32),ISNUMBER(Parametry!$G$6)),IF(AND(YEAR(D32)=Parametry!$G$6,M32&lt;=Parametry!$G$7),1,0),0)</f>
        <v>1</v>
      </c>
      <c r="O32" s="13">
        <f>IF(C32="",IF(COUNTA(D32:J32)&gt;0,1,0),IF(OR(COUNTIFS($C$9:$C$1008,C32)&lt;&gt;1,NOT(ISNUMBER(D32)),NOT(ISNUMBER(I32)),L32="",AND(F32&lt;&gt;"",COUNTIFS(Umowy!$C$9:$C$108,F32,Umowy!$D$9:$D$108,L32)&lt;&gt;1)),1,0))</f>
        <v>0</v>
      </c>
      <c r="P32" s="7" t="str">
        <f t="shared" si="1"/>
        <v/>
      </c>
      <c r="Q32" s="7" t="str">
        <f t="shared" si="2"/>
        <v/>
      </c>
    </row>
    <row r="33" spans="1:17" ht="24" customHeight="1">
      <c r="A33" s="7"/>
      <c r="B33" s="7"/>
      <c r="C33" s="3" t="s">
        <v>279</v>
      </c>
      <c r="D33" s="2">
        <v>46522</v>
      </c>
      <c r="E33" s="3" t="s">
        <v>136</v>
      </c>
      <c r="F33" s="3"/>
      <c r="G33" s="3" t="s">
        <v>258</v>
      </c>
      <c r="H33" s="3" t="s">
        <v>259</v>
      </c>
      <c r="I33" s="6">
        <v>32000</v>
      </c>
      <c r="J33" s="3" t="s">
        <v>249</v>
      </c>
      <c r="K33" s="7"/>
      <c r="L33" s="13" t="str">
        <f>IF(C33="","",IF(COUNTIFS(Parametry!$C$54:$C$113,E33)=1,INDEX(Parametry!$D$54:$D$113,MATCH(E33,Parametry!$C$54:$C$113,0)),""))</f>
        <v>IT09</v>
      </c>
      <c r="M33" s="7">
        <f t="shared" si="0"/>
        <v>5</v>
      </c>
      <c r="N33" s="13">
        <f>IF(AND(ISNUMBER(D33),ISNUMBER(Parametry!$G$6)),IF(AND(YEAR(D33)=Parametry!$G$6,M33&lt;=Parametry!$G$7),1,0),0)</f>
        <v>1</v>
      </c>
      <c r="O33" s="13">
        <f>IF(C33="",IF(COUNTA(D33:J33)&gt;0,1,0),IF(OR(COUNTIFS($C$9:$C$1008,C33)&lt;&gt;1,NOT(ISNUMBER(D33)),NOT(ISNUMBER(I33)),L33="",AND(F33&lt;&gt;"",COUNTIFS(Umowy!$C$9:$C$108,F33,Umowy!$D$9:$D$108,L33)&lt;&gt;1)),1,0))</f>
        <v>0</v>
      </c>
      <c r="P33" s="7" t="str">
        <f t="shared" si="1"/>
        <v/>
      </c>
      <c r="Q33" s="7" t="str">
        <f t="shared" si="2"/>
        <v/>
      </c>
    </row>
    <row r="34" spans="1:17" ht="24" customHeight="1">
      <c r="A34" s="7"/>
      <c r="B34" s="7"/>
      <c r="C34" s="3" t="s">
        <v>280</v>
      </c>
      <c r="D34" s="2">
        <v>46553</v>
      </c>
      <c r="E34" s="3" t="s">
        <v>112</v>
      </c>
      <c r="F34" s="3"/>
      <c r="G34" s="3" t="s">
        <v>201</v>
      </c>
      <c r="H34" s="3" t="s">
        <v>248</v>
      </c>
      <c r="I34" s="6">
        <v>18000</v>
      </c>
      <c r="J34" s="3" t="s">
        <v>249</v>
      </c>
      <c r="K34" s="7"/>
      <c r="L34" s="13" t="str">
        <f>IF(C34="","",IF(COUNTIFS(Parametry!$C$54:$C$113,E34)=1,INDEX(Parametry!$D$54:$D$113,MATCH(E34,Parametry!$C$54:$C$113,0)),""))</f>
        <v>IT01</v>
      </c>
      <c r="M34" s="7">
        <f t="shared" si="0"/>
        <v>6</v>
      </c>
      <c r="N34" s="13">
        <f>IF(AND(ISNUMBER(D34),ISNUMBER(Parametry!$G$6)),IF(AND(YEAR(D34)=Parametry!$G$6,M34&lt;=Parametry!$G$7),1,0),0)</f>
        <v>1</v>
      </c>
      <c r="O34" s="13">
        <f>IF(C34="",IF(COUNTA(D34:J34)&gt;0,1,0),IF(OR(COUNTIFS($C$9:$C$1008,C34)&lt;&gt;1,NOT(ISNUMBER(D34)),NOT(ISNUMBER(I34)),L34="",AND(F34&lt;&gt;"",COUNTIFS(Umowy!$C$9:$C$108,F34,Umowy!$D$9:$D$108,L34)&lt;&gt;1)),1,0))</f>
        <v>0</v>
      </c>
      <c r="P34" s="7" t="str">
        <f t="shared" si="1"/>
        <v/>
      </c>
      <c r="Q34" s="7" t="str">
        <f t="shared" si="2"/>
        <v/>
      </c>
    </row>
    <row r="35" spans="1:17" ht="24" customHeight="1">
      <c r="A35" s="7"/>
      <c r="B35" s="7"/>
      <c r="C35" s="3" t="s">
        <v>281</v>
      </c>
      <c r="D35" s="2">
        <v>46553</v>
      </c>
      <c r="E35" s="3" t="s">
        <v>118</v>
      </c>
      <c r="F35" s="3"/>
      <c r="G35" s="3" t="s">
        <v>204</v>
      </c>
      <c r="H35" s="3" t="s">
        <v>251</v>
      </c>
      <c r="I35" s="6">
        <v>3000</v>
      </c>
      <c r="J35" s="3" t="s">
        <v>249</v>
      </c>
      <c r="K35" s="7"/>
      <c r="L35" s="13" t="str">
        <f>IF(C35="","",IF(COUNTIFS(Parametry!$C$54:$C$113,E35)=1,INDEX(Parametry!$D$54:$D$113,MATCH(E35,Parametry!$C$54:$C$113,0)),""))</f>
        <v>IT03</v>
      </c>
      <c r="M35" s="7">
        <f t="shared" si="0"/>
        <v>6</v>
      </c>
      <c r="N35" s="13">
        <f>IF(AND(ISNUMBER(D35),ISNUMBER(Parametry!$G$6)),IF(AND(YEAR(D35)=Parametry!$G$6,M35&lt;=Parametry!$G$7),1,0),0)</f>
        <v>1</v>
      </c>
      <c r="O35" s="13">
        <f>IF(C35="",IF(COUNTA(D35:J35)&gt;0,1,0),IF(OR(COUNTIFS($C$9:$C$1008,C35)&lt;&gt;1,NOT(ISNUMBER(D35)),NOT(ISNUMBER(I35)),L35="",AND(F35&lt;&gt;"",COUNTIFS(Umowy!$C$9:$C$108,F35,Umowy!$D$9:$D$108,L35)&lt;&gt;1)),1,0))</f>
        <v>0</v>
      </c>
      <c r="P35" s="7" t="str">
        <f t="shared" si="1"/>
        <v/>
      </c>
      <c r="Q35" s="7" t="str">
        <f t="shared" si="2"/>
        <v/>
      </c>
    </row>
    <row r="36" spans="1:17" ht="24" customHeight="1">
      <c r="A36" s="7"/>
      <c r="B36" s="7"/>
      <c r="C36" s="3" t="s">
        <v>282</v>
      </c>
      <c r="D36" s="2">
        <v>46553</v>
      </c>
      <c r="E36" s="3" t="s">
        <v>121</v>
      </c>
      <c r="F36" s="3"/>
      <c r="G36" s="3" t="s">
        <v>206</v>
      </c>
      <c r="H36" s="3" t="s">
        <v>253</v>
      </c>
      <c r="I36" s="6">
        <v>5000</v>
      </c>
      <c r="J36" s="3" t="s">
        <v>249</v>
      </c>
      <c r="K36" s="7"/>
      <c r="L36" s="13" t="str">
        <f>IF(C36="","",IF(COUNTIFS(Parametry!$C$54:$C$113,E36)=1,INDEX(Parametry!$D$54:$D$113,MATCH(E36,Parametry!$C$54:$C$113,0)),""))</f>
        <v>IT04</v>
      </c>
      <c r="M36" s="7">
        <f t="shared" si="0"/>
        <v>6</v>
      </c>
      <c r="N36" s="13">
        <f>IF(AND(ISNUMBER(D36),ISNUMBER(Parametry!$G$6)),IF(AND(YEAR(D36)=Parametry!$G$6,M36&lt;=Parametry!$G$7),1,0),0)</f>
        <v>1</v>
      </c>
      <c r="O36" s="13">
        <f>IF(C36="",IF(COUNTA(D36:J36)&gt;0,1,0),IF(OR(COUNTIFS($C$9:$C$1008,C36)&lt;&gt;1,NOT(ISNUMBER(D36)),NOT(ISNUMBER(I36)),L36="",AND(F36&lt;&gt;"",COUNTIFS(Umowy!$C$9:$C$108,F36,Umowy!$D$9:$D$108,L36)&lt;&gt;1)),1,0))</f>
        <v>0</v>
      </c>
      <c r="P36" s="7" t="str">
        <f t="shared" si="1"/>
        <v/>
      </c>
      <c r="Q36" s="7" t="str">
        <f t="shared" si="2"/>
        <v/>
      </c>
    </row>
    <row r="37" spans="1:17" ht="24" customHeight="1">
      <c r="A37" s="7"/>
      <c r="B37" s="7"/>
      <c r="C37" s="3" t="s">
        <v>283</v>
      </c>
      <c r="D37" s="2">
        <v>46553</v>
      </c>
      <c r="E37" s="3" t="s">
        <v>133</v>
      </c>
      <c r="F37" s="3"/>
      <c r="G37" s="3" t="s">
        <v>255</v>
      </c>
      <c r="H37" s="3" t="s">
        <v>256</v>
      </c>
      <c r="I37" s="6">
        <v>6000</v>
      </c>
      <c r="J37" s="3" t="s">
        <v>249</v>
      </c>
      <c r="K37" s="7"/>
      <c r="L37" s="13" t="str">
        <f>IF(C37="","",IF(COUNTIFS(Parametry!$C$54:$C$113,E37)=1,INDEX(Parametry!$D$54:$D$113,MATCH(E37,Parametry!$C$54:$C$113,0)),""))</f>
        <v>IT08</v>
      </c>
      <c r="M37" s="7">
        <f t="shared" si="0"/>
        <v>6</v>
      </c>
      <c r="N37" s="13">
        <f>IF(AND(ISNUMBER(D37),ISNUMBER(Parametry!$G$6)),IF(AND(YEAR(D37)=Parametry!$G$6,M37&lt;=Parametry!$G$7),1,0),0)</f>
        <v>1</v>
      </c>
      <c r="O37" s="13">
        <f>IF(C37="",IF(COUNTA(D37:J37)&gt;0,1,0),IF(OR(COUNTIFS($C$9:$C$1008,C37)&lt;&gt;1,NOT(ISNUMBER(D37)),NOT(ISNUMBER(I37)),L37="",AND(F37&lt;&gt;"",COUNTIFS(Umowy!$C$9:$C$108,F37,Umowy!$D$9:$D$108,L37)&lt;&gt;1)),1,0))</f>
        <v>0</v>
      </c>
      <c r="P37" s="7" t="str">
        <f t="shared" si="1"/>
        <v/>
      </c>
      <c r="Q37" s="7" t="str">
        <f t="shared" si="2"/>
        <v/>
      </c>
    </row>
    <row r="38" spans="1:17" ht="24" customHeight="1">
      <c r="A38" s="7"/>
      <c r="B38" s="7"/>
      <c r="C38" s="3" t="s">
        <v>284</v>
      </c>
      <c r="D38" s="2">
        <v>46553</v>
      </c>
      <c r="E38" s="3" t="s">
        <v>136</v>
      </c>
      <c r="F38" s="3"/>
      <c r="G38" s="3" t="s">
        <v>258</v>
      </c>
      <c r="H38" s="3" t="s">
        <v>259</v>
      </c>
      <c r="I38" s="6">
        <v>32000</v>
      </c>
      <c r="J38" s="3" t="s">
        <v>249</v>
      </c>
      <c r="K38" s="7"/>
      <c r="L38" s="13" t="str">
        <f>IF(C38="","",IF(COUNTIFS(Parametry!$C$54:$C$113,E38)=1,INDEX(Parametry!$D$54:$D$113,MATCH(E38,Parametry!$C$54:$C$113,0)),""))</f>
        <v>IT09</v>
      </c>
      <c r="M38" s="7">
        <f t="shared" si="0"/>
        <v>6</v>
      </c>
      <c r="N38" s="13">
        <f>IF(AND(ISNUMBER(D38),ISNUMBER(Parametry!$G$6)),IF(AND(YEAR(D38)=Parametry!$G$6,M38&lt;=Parametry!$G$7),1,0),0)</f>
        <v>1</v>
      </c>
      <c r="O38" s="13">
        <f>IF(C38="",IF(COUNTA(D38:J38)&gt;0,1,0),IF(OR(COUNTIFS($C$9:$C$1008,C38)&lt;&gt;1,NOT(ISNUMBER(D38)),NOT(ISNUMBER(I38)),L38="",AND(F38&lt;&gt;"",COUNTIFS(Umowy!$C$9:$C$108,F38,Umowy!$D$9:$D$108,L38)&lt;&gt;1)),1,0))</f>
        <v>0</v>
      </c>
      <c r="P38" s="7" t="str">
        <f t="shared" si="1"/>
        <v/>
      </c>
      <c r="Q38" s="7" t="str">
        <f t="shared" si="2"/>
        <v/>
      </c>
    </row>
    <row r="39" spans="1:17" ht="24" customHeight="1">
      <c r="A39" s="7"/>
      <c r="B39" s="7"/>
      <c r="C39" s="3" t="s">
        <v>285</v>
      </c>
      <c r="D39" s="2">
        <v>46402</v>
      </c>
      <c r="E39" s="3" t="s">
        <v>115</v>
      </c>
      <c r="F39" s="3" t="s">
        <v>227</v>
      </c>
      <c r="G39" s="3" t="s">
        <v>228</v>
      </c>
      <c r="H39" s="3" t="s">
        <v>286</v>
      </c>
      <c r="I39" s="6">
        <v>120000</v>
      </c>
      <c r="J39" s="3" t="s">
        <v>249</v>
      </c>
      <c r="K39" s="7"/>
      <c r="L39" s="13" t="str">
        <f>IF(C39="","",IF(COUNTIFS(Parametry!$C$54:$C$113,E39)=1,INDEX(Parametry!$D$54:$D$113,MATCH(E39,Parametry!$C$54:$C$113,0)),""))</f>
        <v>IT02</v>
      </c>
      <c r="M39" s="7">
        <f t="shared" si="0"/>
        <v>1</v>
      </c>
      <c r="N39" s="13">
        <f>IF(AND(ISNUMBER(D39),ISNUMBER(Parametry!$G$6)),IF(AND(YEAR(D39)=Parametry!$G$6,M39&lt;=Parametry!$G$7),1,0),0)</f>
        <v>1</v>
      </c>
      <c r="O39" s="13">
        <f>IF(C39="",IF(COUNTA(D39:J39)&gt;0,1,0),IF(OR(COUNTIFS($C$9:$C$1008,C39)&lt;&gt;1,NOT(ISNUMBER(D39)),NOT(ISNUMBER(I39)),L39="",AND(F39&lt;&gt;"",COUNTIFS(Umowy!$C$9:$C$108,F39,Umowy!$D$9:$D$108,L39)&lt;&gt;1)),1,0))</f>
        <v>0</v>
      </c>
      <c r="P39" s="7" t="str">
        <f t="shared" si="1"/>
        <v/>
      </c>
      <c r="Q39" s="7" t="str">
        <f t="shared" si="2"/>
        <v/>
      </c>
    </row>
    <row r="40" spans="1:17" ht="24" customHeight="1">
      <c r="A40" s="7"/>
      <c r="B40" s="7"/>
      <c r="C40" s="3" t="s">
        <v>287</v>
      </c>
      <c r="D40" s="2">
        <v>46553</v>
      </c>
      <c r="E40" s="3" t="s">
        <v>115</v>
      </c>
      <c r="F40" s="3" t="s">
        <v>227</v>
      </c>
      <c r="G40" s="3" t="s">
        <v>228</v>
      </c>
      <c r="H40" s="3" t="s">
        <v>288</v>
      </c>
      <c r="I40" s="6">
        <v>-2000</v>
      </c>
      <c r="J40" s="3" t="s">
        <v>249</v>
      </c>
      <c r="K40" s="7"/>
      <c r="L40" s="13" t="str">
        <f>IF(C40="","",IF(COUNTIFS(Parametry!$C$54:$C$113,E40)=1,INDEX(Parametry!$D$54:$D$113,MATCH(E40,Parametry!$C$54:$C$113,0)),""))</f>
        <v>IT02</v>
      </c>
      <c r="M40" s="7">
        <f t="shared" si="0"/>
        <v>6</v>
      </c>
      <c r="N40" s="13">
        <f>IF(AND(ISNUMBER(D40),ISNUMBER(Parametry!$G$6)),IF(AND(YEAR(D40)=Parametry!$G$6,M40&lt;=Parametry!$G$7),1,0),0)</f>
        <v>1</v>
      </c>
      <c r="O40" s="13">
        <f>IF(C40="",IF(COUNTA(D40:J40)&gt;0,1,0),IF(OR(COUNTIFS($C$9:$C$1008,C40)&lt;&gt;1,NOT(ISNUMBER(D40)),NOT(ISNUMBER(I40)),L40="",AND(F40&lt;&gt;"",COUNTIFS(Umowy!$C$9:$C$108,F40,Umowy!$D$9:$D$108,L40)&lt;&gt;1)),1,0))</f>
        <v>0</v>
      </c>
      <c r="P40" s="7" t="str">
        <f t="shared" si="1"/>
        <v/>
      </c>
      <c r="Q40" s="7" t="str">
        <f t="shared" si="2"/>
        <v/>
      </c>
    </row>
    <row r="41" spans="1:17" ht="24" customHeight="1">
      <c r="A41" s="7"/>
      <c r="B41" s="7"/>
      <c r="C41" s="3" t="s">
        <v>289</v>
      </c>
      <c r="D41" s="2">
        <v>46461</v>
      </c>
      <c r="E41" s="3" t="s">
        <v>124</v>
      </c>
      <c r="F41" s="3"/>
      <c r="G41" s="3" t="s">
        <v>290</v>
      </c>
      <c r="H41" s="3" t="s">
        <v>291</v>
      </c>
      <c r="I41" s="6">
        <v>64000</v>
      </c>
      <c r="J41" s="3" t="s">
        <v>249</v>
      </c>
      <c r="K41" s="7"/>
      <c r="L41" s="13" t="str">
        <f>IF(C41="","",IF(COUNTIFS(Parametry!$C$54:$C$113,E41)=1,INDEX(Parametry!$D$54:$D$113,MATCH(E41,Parametry!$C$54:$C$113,0)),""))</f>
        <v>IT05</v>
      </c>
      <c r="M41" s="7">
        <f t="shared" si="0"/>
        <v>3</v>
      </c>
      <c r="N41" s="13">
        <f>IF(AND(ISNUMBER(D41),ISNUMBER(Parametry!$G$6)),IF(AND(YEAR(D41)=Parametry!$G$6,M41&lt;=Parametry!$G$7),1,0),0)</f>
        <v>1</v>
      </c>
      <c r="O41" s="13">
        <f>IF(C41="",IF(COUNTA(D41:J41)&gt;0,1,0),IF(OR(COUNTIFS($C$9:$C$1008,C41)&lt;&gt;1,NOT(ISNUMBER(D41)),NOT(ISNUMBER(I41)),L41="",AND(F41&lt;&gt;"",COUNTIFS(Umowy!$C$9:$C$108,F41,Umowy!$D$9:$D$108,L41)&lt;&gt;1)),1,0))</f>
        <v>0</v>
      </c>
      <c r="P41" s="7" t="str">
        <f t="shared" si="1"/>
        <v/>
      </c>
      <c r="Q41" s="7" t="str">
        <f t="shared" si="2"/>
        <v/>
      </c>
    </row>
    <row r="42" spans="1:17" ht="24" customHeight="1">
      <c r="A42" s="7"/>
      <c r="B42" s="7"/>
      <c r="C42" s="3" t="s">
        <v>292</v>
      </c>
      <c r="D42" s="2">
        <v>46492</v>
      </c>
      <c r="E42" s="3" t="s">
        <v>127</v>
      </c>
      <c r="F42" s="3"/>
      <c r="G42" s="3" t="s">
        <v>231</v>
      </c>
      <c r="H42" s="3" t="s">
        <v>293</v>
      </c>
      <c r="I42" s="6">
        <v>40000</v>
      </c>
      <c r="J42" s="3" t="s">
        <v>249</v>
      </c>
      <c r="K42" s="7"/>
      <c r="L42" s="13" t="str">
        <f>IF(C42="","",IF(COUNTIFS(Parametry!$C$54:$C$113,E42)=1,INDEX(Parametry!$D$54:$D$113,MATCH(E42,Parametry!$C$54:$C$113,0)),""))</f>
        <v>IT06</v>
      </c>
      <c r="M42" s="7">
        <f t="shared" si="0"/>
        <v>4</v>
      </c>
      <c r="N42" s="13">
        <f>IF(AND(ISNUMBER(D42),ISNUMBER(Parametry!$G$6)),IF(AND(YEAR(D42)=Parametry!$G$6,M42&lt;=Parametry!$G$7),1,0),0)</f>
        <v>1</v>
      </c>
      <c r="O42" s="13">
        <f>IF(C42="",IF(COUNTA(D42:J42)&gt;0,1,0),IF(OR(COUNTIFS($C$9:$C$1008,C42)&lt;&gt;1,NOT(ISNUMBER(D42)),NOT(ISNUMBER(I42)),L42="",AND(F42&lt;&gt;"",COUNTIFS(Umowy!$C$9:$C$108,F42,Umowy!$D$9:$D$108,L42)&lt;&gt;1)),1,0))</f>
        <v>0</v>
      </c>
      <c r="P42" s="7" t="str">
        <f t="shared" si="1"/>
        <v/>
      </c>
      <c r="Q42" s="7" t="str">
        <f t="shared" si="2"/>
        <v/>
      </c>
    </row>
    <row r="43" spans="1:17" ht="24" customHeight="1">
      <c r="A43" s="7"/>
      <c r="B43" s="7"/>
      <c r="C43" s="3" t="s">
        <v>294</v>
      </c>
      <c r="D43" s="2">
        <v>46522</v>
      </c>
      <c r="E43" s="3" t="s">
        <v>139</v>
      </c>
      <c r="F43" s="3"/>
      <c r="G43" s="3" t="s">
        <v>228</v>
      </c>
      <c r="H43" s="3" t="s">
        <v>295</v>
      </c>
      <c r="I43" s="6">
        <v>18000</v>
      </c>
      <c r="J43" s="3" t="s">
        <v>249</v>
      </c>
      <c r="K43" s="7"/>
      <c r="L43" s="13" t="str">
        <f>IF(C43="","",IF(COUNTIFS(Parametry!$C$54:$C$113,E43)=1,INDEX(Parametry!$D$54:$D$113,MATCH(E43,Parametry!$C$54:$C$113,0)),""))</f>
        <v>IT10</v>
      </c>
      <c r="M43" s="7">
        <f t="shared" si="0"/>
        <v>5</v>
      </c>
      <c r="N43" s="13">
        <f>IF(AND(ISNUMBER(D43),ISNUMBER(Parametry!$G$6)),IF(AND(YEAR(D43)=Parametry!$G$6,M43&lt;=Parametry!$G$7),1,0),0)</f>
        <v>1</v>
      </c>
      <c r="O43" s="13">
        <f>IF(C43="",IF(COUNTA(D43:J43)&gt;0,1,0),IF(OR(COUNTIFS($C$9:$C$1008,C43)&lt;&gt;1,NOT(ISNUMBER(D43)),NOT(ISNUMBER(I43)),L43="",AND(F43&lt;&gt;"",COUNTIFS(Umowy!$C$9:$C$108,F43,Umowy!$D$9:$D$108,L43)&lt;&gt;1)),1,0))</f>
        <v>0</v>
      </c>
      <c r="P43" s="7" t="str">
        <f t="shared" si="1"/>
        <v/>
      </c>
      <c r="Q43" s="7" t="str">
        <f t="shared" si="2"/>
        <v/>
      </c>
    </row>
    <row r="44" spans="1:17" ht="24" customHeight="1">
      <c r="A44" s="7"/>
      <c r="B44" s="7"/>
      <c r="C44" s="3" t="s">
        <v>296</v>
      </c>
      <c r="D44" s="2">
        <v>46553</v>
      </c>
      <c r="E44" s="3" t="s">
        <v>148</v>
      </c>
      <c r="F44" s="3"/>
      <c r="G44" s="3" t="s">
        <v>228</v>
      </c>
      <c r="H44" s="3" t="s">
        <v>297</v>
      </c>
      <c r="I44" s="6">
        <v>3000</v>
      </c>
      <c r="J44" s="3" t="s">
        <v>249</v>
      </c>
      <c r="K44" s="7"/>
      <c r="L44" s="13" t="str">
        <f>IF(C44="","",IF(COUNTIFS(Parametry!$C$54:$C$113,E44)=1,INDEX(Parametry!$D$54:$D$113,MATCH(E44,Parametry!$C$54:$C$113,0)),""))</f>
        <v>IT13</v>
      </c>
      <c r="M44" s="7">
        <f t="shared" si="0"/>
        <v>6</v>
      </c>
      <c r="N44" s="13">
        <f>IF(AND(ISNUMBER(D44),ISNUMBER(Parametry!$G$6)),IF(AND(YEAR(D44)=Parametry!$G$6,M44&lt;=Parametry!$G$7),1,0),0)</f>
        <v>1</v>
      </c>
      <c r="O44" s="13">
        <f>IF(C44="",IF(COUNTA(D44:J44)&gt;0,1,0),IF(OR(COUNTIFS($C$9:$C$1008,C44)&lt;&gt;1,NOT(ISNUMBER(D44)),NOT(ISNUMBER(I44)),L44="",AND(F44&lt;&gt;"",COUNTIFS(Umowy!$C$9:$C$108,F44,Umowy!$D$9:$D$108,L44)&lt;&gt;1)),1,0))</f>
        <v>0</v>
      </c>
      <c r="P44" s="7" t="str">
        <f t="shared" si="1"/>
        <v/>
      </c>
      <c r="Q44" s="7" t="str">
        <f t="shared" si="2"/>
        <v/>
      </c>
    </row>
    <row r="45" spans="1:17" ht="24" customHeight="1">
      <c r="A45" s="7"/>
      <c r="B45" s="7"/>
      <c r="C45" s="3"/>
      <c r="D45" s="2"/>
      <c r="E45" s="3"/>
      <c r="F45" s="3"/>
      <c r="G45" s="3"/>
      <c r="H45" s="3"/>
      <c r="I45" s="6"/>
      <c r="J45" s="3"/>
      <c r="K45" s="7"/>
      <c r="L45" s="13" t="str">
        <f>IF(C45="","",IF(COUNTIFS(Parametry!$C$54:$C$113,E45)=1,INDEX(Parametry!$D$54:$D$113,MATCH(E45,Parametry!$C$54:$C$113,0)),""))</f>
        <v/>
      </c>
      <c r="M45" s="7">
        <f t="shared" si="0"/>
        <v>0</v>
      </c>
      <c r="N45" s="13">
        <f>IF(AND(ISNUMBER(D45),ISNUMBER(Parametry!$G$6)),IF(AND(YEAR(D45)=Parametry!$G$6,M45&lt;=Parametry!$G$7),1,0),0)</f>
        <v>0</v>
      </c>
      <c r="O45" s="13">
        <f>IF(C45="",IF(COUNTA(D45:J45)&gt;0,1,0),IF(OR(COUNTIFS($C$9:$C$1008,C45)&lt;&gt;1,NOT(ISNUMBER(D45)),NOT(ISNUMBER(I45)),L45="",AND(F45&lt;&gt;"",COUNTIFS(Umowy!$C$9:$C$108,F45,Umowy!$D$9:$D$108,L45)&lt;&gt;1)),1,0))</f>
        <v>0</v>
      </c>
      <c r="P45" s="7" t="str">
        <f t="shared" si="1"/>
        <v/>
      </c>
      <c r="Q45" s="7" t="str">
        <f t="shared" si="2"/>
        <v/>
      </c>
    </row>
    <row r="46" spans="1:17" ht="24" customHeight="1">
      <c r="A46" s="7"/>
      <c r="B46" s="7"/>
      <c r="C46" s="3"/>
      <c r="D46" s="2"/>
      <c r="E46" s="3"/>
      <c r="F46" s="3"/>
      <c r="G46" s="3"/>
      <c r="H46" s="3"/>
      <c r="I46" s="6"/>
      <c r="J46" s="3"/>
      <c r="K46" s="7"/>
      <c r="L46" s="13" t="str">
        <f>IF(C46="","",IF(COUNTIFS(Parametry!$C$54:$C$113,E46)=1,INDEX(Parametry!$D$54:$D$113,MATCH(E46,Parametry!$C$54:$C$113,0)),""))</f>
        <v/>
      </c>
      <c r="M46" s="7">
        <f t="shared" si="0"/>
        <v>0</v>
      </c>
      <c r="N46" s="13">
        <f>IF(AND(ISNUMBER(D46),ISNUMBER(Parametry!$G$6)),IF(AND(YEAR(D46)=Parametry!$G$6,M46&lt;=Parametry!$G$7),1,0),0)</f>
        <v>0</v>
      </c>
      <c r="O46" s="13">
        <f>IF(C46="",IF(COUNTA(D46:J46)&gt;0,1,0),IF(OR(COUNTIFS($C$9:$C$1008,C46)&lt;&gt;1,NOT(ISNUMBER(D46)),NOT(ISNUMBER(I46)),L46="",AND(F46&lt;&gt;"",COUNTIFS(Umowy!$C$9:$C$108,F46,Umowy!$D$9:$D$108,L46)&lt;&gt;1)),1,0))</f>
        <v>0</v>
      </c>
      <c r="P46" s="7" t="str">
        <f t="shared" si="1"/>
        <v/>
      </c>
      <c r="Q46" s="7" t="str">
        <f t="shared" si="2"/>
        <v/>
      </c>
    </row>
    <row r="47" spans="1:17" ht="24" customHeight="1">
      <c r="A47" s="7"/>
      <c r="B47" s="7"/>
      <c r="C47" s="3"/>
      <c r="D47" s="2"/>
      <c r="E47" s="3"/>
      <c r="F47" s="3"/>
      <c r="G47" s="3"/>
      <c r="H47" s="3"/>
      <c r="I47" s="6"/>
      <c r="J47" s="3"/>
      <c r="K47" s="7"/>
      <c r="L47" s="13" t="str">
        <f>IF(C47="","",IF(COUNTIFS(Parametry!$C$54:$C$113,E47)=1,INDEX(Parametry!$D$54:$D$113,MATCH(E47,Parametry!$C$54:$C$113,0)),""))</f>
        <v/>
      </c>
      <c r="M47" s="7">
        <f t="shared" si="0"/>
        <v>0</v>
      </c>
      <c r="N47" s="13">
        <f>IF(AND(ISNUMBER(D47),ISNUMBER(Parametry!$G$6)),IF(AND(YEAR(D47)=Parametry!$G$6,M47&lt;=Parametry!$G$7),1,0),0)</f>
        <v>0</v>
      </c>
      <c r="O47" s="13">
        <f>IF(C47="",IF(COUNTA(D47:J47)&gt;0,1,0),IF(OR(COUNTIFS($C$9:$C$1008,C47)&lt;&gt;1,NOT(ISNUMBER(D47)),NOT(ISNUMBER(I47)),L47="",AND(F47&lt;&gt;"",COUNTIFS(Umowy!$C$9:$C$108,F47,Umowy!$D$9:$D$108,L47)&lt;&gt;1)),1,0))</f>
        <v>0</v>
      </c>
      <c r="P47" s="7" t="str">
        <f t="shared" si="1"/>
        <v/>
      </c>
      <c r="Q47" s="7" t="str">
        <f t="shared" si="2"/>
        <v/>
      </c>
    </row>
    <row r="48" spans="1:17" ht="24" customHeight="1">
      <c r="A48" s="7"/>
      <c r="B48" s="7"/>
      <c r="C48" s="3"/>
      <c r="D48" s="2"/>
      <c r="E48" s="3"/>
      <c r="F48" s="3"/>
      <c r="G48" s="3"/>
      <c r="H48" s="3"/>
      <c r="I48" s="6"/>
      <c r="J48" s="3"/>
      <c r="K48" s="7"/>
      <c r="L48" s="13" t="str">
        <f>IF(C48="","",IF(COUNTIFS(Parametry!$C$54:$C$113,E48)=1,INDEX(Parametry!$D$54:$D$113,MATCH(E48,Parametry!$C$54:$C$113,0)),""))</f>
        <v/>
      </c>
      <c r="M48" s="7">
        <f t="shared" si="0"/>
        <v>0</v>
      </c>
      <c r="N48" s="13">
        <f>IF(AND(ISNUMBER(D48),ISNUMBER(Parametry!$G$6)),IF(AND(YEAR(D48)=Parametry!$G$6,M48&lt;=Parametry!$G$7),1,0),0)</f>
        <v>0</v>
      </c>
      <c r="O48" s="13">
        <f>IF(C48="",IF(COUNTA(D48:J48)&gt;0,1,0),IF(OR(COUNTIFS($C$9:$C$1008,C48)&lt;&gt;1,NOT(ISNUMBER(D48)),NOT(ISNUMBER(I48)),L48="",AND(F48&lt;&gt;"",COUNTIFS(Umowy!$C$9:$C$108,F48,Umowy!$D$9:$D$108,L48)&lt;&gt;1)),1,0))</f>
        <v>0</v>
      </c>
      <c r="P48" s="7" t="str">
        <f t="shared" si="1"/>
        <v/>
      </c>
      <c r="Q48" s="7" t="str">
        <f t="shared" si="2"/>
        <v/>
      </c>
    </row>
    <row r="49" spans="1:17" ht="24" customHeight="1">
      <c r="A49" s="7"/>
      <c r="B49" s="7"/>
      <c r="C49" s="3"/>
      <c r="D49" s="2"/>
      <c r="E49" s="3"/>
      <c r="F49" s="3"/>
      <c r="G49" s="3"/>
      <c r="H49" s="3"/>
      <c r="I49" s="6"/>
      <c r="J49" s="3"/>
      <c r="K49" s="7"/>
      <c r="L49" s="13" t="str">
        <f>IF(C49="","",IF(COUNTIFS(Parametry!$C$54:$C$113,E49)=1,INDEX(Parametry!$D$54:$D$113,MATCH(E49,Parametry!$C$54:$C$113,0)),""))</f>
        <v/>
      </c>
      <c r="M49" s="7">
        <f t="shared" si="0"/>
        <v>0</v>
      </c>
      <c r="N49" s="13">
        <f>IF(AND(ISNUMBER(D49),ISNUMBER(Parametry!$G$6)),IF(AND(YEAR(D49)=Parametry!$G$6,M49&lt;=Parametry!$G$7),1,0),0)</f>
        <v>0</v>
      </c>
      <c r="O49" s="13">
        <f>IF(C49="",IF(COUNTA(D49:J49)&gt;0,1,0),IF(OR(COUNTIFS($C$9:$C$1008,C49)&lt;&gt;1,NOT(ISNUMBER(D49)),NOT(ISNUMBER(I49)),L49="",AND(F49&lt;&gt;"",COUNTIFS(Umowy!$C$9:$C$108,F49,Umowy!$D$9:$D$108,L49)&lt;&gt;1)),1,0))</f>
        <v>0</v>
      </c>
      <c r="P49" s="7" t="str">
        <f t="shared" si="1"/>
        <v/>
      </c>
      <c r="Q49" s="7" t="str">
        <f t="shared" si="2"/>
        <v/>
      </c>
    </row>
    <row r="50" spans="1:17" ht="24" customHeight="1">
      <c r="A50" s="7"/>
      <c r="B50" s="7"/>
      <c r="C50" s="3"/>
      <c r="D50" s="2"/>
      <c r="E50" s="3"/>
      <c r="F50" s="3"/>
      <c r="G50" s="3"/>
      <c r="H50" s="3"/>
      <c r="I50" s="6"/>
      <c r="J50" s="3"/>
      <c r="K50" s="7"/>
      <c r="L50" s="13" t="str">
        <f>IF(C50="","",IF(COUNTIFS(Parametry!$C$54:$C$113,E50)=1,INDEX(Parametry!$D$54:$D$113,MATCH(E50,Parametry!$C$54:$C$113,0)),""))</f>
        <v/>
      </c>
      <c r="M50" s="7">
        <f t="shared" si="0"/>
        <v>0</v>
      </c>
      <c r="N50" s="13">
        <f>IF(AND(ISNUMBER(D50),ISNUMBER(Parametry!$G$6)),IF(AND(YEAR(D50)=Parametry!$G$6,M50&lt;=Parametry!$G$7),1,0),0)</f>
        <v>0</v>
      </c>
      <c r="O50" s="13">
        <f>IF(C50="",IF(COUNTA(D50:J50)&gt;0,1,0),IF(OR(COUNTIFS($C$9:$C$1008,C50)&lt;&gt;1,NOT(ISNUMBER(D50)),NOT(ISNUMBER(I50)),L50="",AND(F50&lt;&gt;"",COUNTIFS(Umowy!$C$9:$C$108,F50,Umowy!$D$9:$D$108,L50)&lt;&gt;1)),1,0))</f>
        <v>0</v>
      </c>
      <c r="P50" s="7" t="str">
        <f t="shared" si="1"/>
        <v/>
      </c>
      <c r="Q50" s="7" t="str">
        <f t="shared" si="2"/>
        <v/>
      </c>
    </row>
    <row r="51" spans="1:17" ht="24" customHeight="1">
      <c r="A51" s="7"/>
      <c r="B51" s="7"/>
      <c r="C51" s="3"/>
      <c r="D51" s="2"/>
      <c r="E51" s="3"/>
      <c r="F51" s="3"/>
      <c r="G51" s="3"/>
      <c r="H51" s="3"/>
      <c r="I51" s="6"/>
      <c r="J51" s="3"/>
      <c r="K51" s="7"/>
      <c r="L51" s="13" t="str">
        <f>IF(C51="","",IF(COUNTIFS(Parametry!$C$54:$C$113,E51)=1,INDEX(Parametry!$D$54:$D$113,MATCH(E51,Parametry!$C$54:$C$113,0)),""))</f>
        <v/>
      </c>
      <c r="M51" s="7">
        <f t="shared" si="0"/>
        <v>0</v>
      </c>
      <c r="N51" s="13">
        <f>IF(AND(ISNUMBER(D51),ISNUMBER(Parametry!$G$6)),IF(AND(YEAR(D51)=Parametry!$G$6,M51&lt;=Parametry!$G$7),1,0),0)</f>
        <v>0</v>
      </c>
      <c r="O51" s="13">
        <f>IF(C51="",IF(COUNTA(D51:J51)&gt;0,1,0),IF(OR(COUNTIFS($C$9:$C$1008,C51)&lt;&gt;1,NOT(ISNUMBER(D51)),NOT(ISNUMBER(I51)),L51="",AND(F51&lt;&gt;"",COUNTIFS(Umowy!$C$9:$C$108,F51,Umowy!$D$9:$D$108,L51)&lt;&gt;1)),1,0))</f>
        <v>0</v>
      </c>
      <c r="P51" s="7" t="str">
        <f t="shared" si="1"/>
        <v/>
      </c>
      <c r="Q51" s="7" t="str">
        <f t="shared" si="2"/>
        <v/>
      </c>
    </row>
    <row r="52" spans="1:17" ht="24" customHeight="1">
      <c r="A52" s="7"/>
      <c r="B52" s="7"/>
      <c r="C52" s="3"/>
      <c r="D52" s="2"/>
      <c r="E52" s="3"/>
      <c r="F52" s="3"/>
      <c r="G52" s="3"/>
      <c r="H52" s="3"/>
      <c r="I52" s="6"/>
      <c r="J52" s="3"/>
      <c r="K52" s="7"/>
      <c r="L52" s="13" t="str">
        <f>IF(C52="","",IF(COUNTIFS(Parametry!$C$54:$C$113,E52)=1,INDEX(Parametry!$D$54:$D$113,MATCH(E52,Parametry!$C$54:$C$113,0)),""))</f>
        <v/>
      </c>
      <c r="M52" s="7">
        <f t="shared" si="0"/>
        <v>0</v>
      </c>
      <c r="N52" s="13">
        <f>IF(AND(ISNUMBER(D52),ISNUMBER(Parametry!$G$6)),IF(AND(YEAR(D52)=Parametry!$G$6,M52&lt;=Parametry!$G$7),1,0),0)</f>
        <v>0</v>
      </c>
      <c r="O52" s="13">
        <f>IF(C52="",IF(COUNTA(D52:J52)&gt;0,1,0),IF(OR(COUNTIFS($C$9:$C$1008,C52)&lt;&gt;1,NOT(ISNUMBER(D52)),NOT(ISNUMBER(I52)),L52="",AND(F52&lt;&gt;"",COUNTIFS(Umowy!$C$9:$C$108,F52,Umowy!$D$9:$D$108,L52)&lt;&gt;1)),1,0))</f>
        <v>0</v>
      </c>
      <c r="P52" s="7" t="str">
        <f t="shared" si="1"/>
        <v/>
      </c>
      <c r="Q52" s="7" t="str">
        <f t="shared" si="2"/>
        <v/>
      </c>
    </row>
    <row r="53" spans="1:17" ht="24" customHeight="1">
      <c r="A53" s="7"/>
      <c r="B53" s="7"/>
      <c r="C53" s="3"/>
      <c r="D53" s="2"/>
      <c r="E53" s="3"/>
      <c r="F53" s="3"/>
      <c r="G53" s="3"/>
      <c r="H53" s="3"/>
      <c r="I53" s="6"/>
      <c r="J53" s="3"/>
      <c r="K53" s="7"/>
      <c r="L53" s="13" t="str">
        <f>IF(C53="","",IF(COUNTIFS(Parametry!$C$54:$C$113,E53)=1,INDEX(Parametry!$D$54:$D$113,MATCH(E53,Parametry!$C$54:$C$113,0)),""))</f>
        <v/>
      </c>
      <c r="M53" s="7">
        <f t="shared" si="0"/>
        <v>0</v>
      </c>
      <c r="N53" s="13">
        <f>IF(AND(ISNUMBER(D53),ISNUMBER(Parametry!$G$6)),IF(AND(YEAR(D53)=Parametry!$G$6,M53&lt;=Parametry!$G$7),1,0),0)</f>
        <v>0</v>
      </c>
      <c r="O53" s="13">
        <f>IF(C53="",IF(COUNTA(D53:J53)&gt;0,1,0),IF(OR(COUNTIFS($C$9:$C$1008,C53)&lt;&gt;1,NOT(ISNUMBER(D53)),NOT(ISNUMBER(I53)),L53="",AND(F53&lt;&gt;"",COUNTIFS(Umowy!$C$9:$C$108,F53,Umowy!$D$9:$D$108,L53)&lt;&gt;1)),1,0))</f>
        <v>0</v>
      </c>
      <c r="P53" s="7" t="str">
        <f t="shared" si="1"/>
        <v/>
      </c>
      <c r="Q53" s="7" t="str">
        <f t="shared" si="2"/>
        <v/>
      </c>
    </row>
    <row r="54" spans="1:17" ht="24" customHeight="1">
      <c r="A54" s="7"/>
      <c r="B54" s="7"/>
      <c r="C54" s="3"/>
      <c r="D54" s="2"/>
      <c r="E54" s="3"/>
      <c r="F54" s="3"/>
      <c r="G54" s="3"/>
      <c r="H54" s="3"/>
      <c r="I54" s="6"/>
      <c r="J54" s="3"/>
      <c r="K54" s="7"/>
      <c r="L54" s="13" t="str">
        <f>IF(C54="","",IF(COUNTIFS(Parametry!$C$54:$C$113,E54)=1,INDEX(Parametry!$D$54:$D$113,MATCH(E54,Parametry!$C$54:$C$113,0)),""))</f>
        <v/>
      </c>
      <c r="M54" s="7">
        <f t="shared" si="0"/>
        <v>0</v>
      </c>
      <c r="N54" s="13">
        <f>IF(AND(ISNUMBER(D54),ISNUMBER(Parametry!$G$6)),IF(AND(YEAR(D54)=Parametry!$G$6,M54&lt;=Parametry!$G$7),1,0),0)</f>
        <v>0</v>
      </c>
      <c r="O54" s="13">
        <f>IF(C54="",IF(COUNTA(D54:J54)&gt;0,1,0),IF(OR(COUNTIFS($C$9:$C$1008,C54)&lt;&gt;1,NOT(ISNUMBER(D54)),NOT(ISNUMBER(I54)),L54="",AND(F54&lt;&gt;"",COUNTIFS(Umowy!$C$9:$C$108,F54,Umowy!$D$9:$D$108,L54)&lt;&gt;1)),1,0))</f>
        <v>0</v>
      </c>
      <c r="P54" s="7" t="str">
        <f t="shared" si="1"/>
        <v/>
      </c>
      <c r="Q54" s="7" t="str">
        <f t="shared" si="2"/>
        <v/>
      </c>
    </row>
    <row r="55" spans="1:17" ht="24" customHeight="1">
      <c r="A55" s="7"/>
      <c r="B55" s="7"/>
      <c r="C55" s="3"/>
      <c r="D55" s="2"/>
      <c r="E55" s="3"/>
      <c r="F55" s="3"/>
      <c r="G55" s="3"/>
      <c r="H55" s="3"/>
      <c r="I55" s="6"/>
      <c r="J55" s="3"/>
      <c r="K55" s="7"/>
      <c r="L55" s="13" t="str">
        <f>IF(C55="","",IF(COUNTIFS(Parametry!$C$54:$C$113,E55)=1,INDEX(Parametry!$D$54:$D$113,MATCH(E55,Parametry!$C$54:$C$113,0)),""))</f>
        <v/>
      </c>
      <c r="M55" s="7">
        <f t="shared" si="0"/>
        <v>0</v>
      </c>
      <c r="N55" s="13">
        <f>IF(AND(ISNUMBER(D55),ISNUMBER(Parametry!$G$6)),IF(AND(YEAR(D55)=Parametry!$G$6,M55&lt;=Parametry!$G$7),1,0),0)</f>
        <v>0</v>
      </c>
      <c r="O55" s="13">
        <f>IF(C55="",IF(COUNTA(D55:J55)&gt;0,1,0),IF(OR(COUNTIFS($C$9:$C$1008,C55)&lt;&gt;1,NOT(ISNUMBER(D55)),NOT(ISNUMBER(I55)),L55="",AND(F55&lt;&gt;"",COUNTIFS(Umowy!$C$9:$C$108,F55,Umowy!$D$9:$D$108,L55)&lt;&gt;1)),1,0))</f>
        <v>0</v>
      </c>
      <c r="P55" s="7" t="str">
        <f t="shared" si="1"/>
        <v/>
      </c>
      <c r="Q55" s="7" t="str">
        <f t="shared" si="2"/>
        <v/>
      </c>
    </row>
    <row r="56" spans="1:17" ht="24" customHeight="1">
      <c r="A56" s="7"/>
      <c r="B56" s="7"/>
      <c r="C56" s="3"/>
      <c r="D56" s="2"/>
      <c r="E56" s="3"/>
      <c r="F56" s="3"/>
      <c r="G56" s="3"/>
      <c r="H56" s="3"/>
      <c r="I56" s="6"/>
      <c r="J56" s="3"/>
      <c r="K56" s="7"/>
      <c r="L56" s="13" t="str">
        <f>IF(C56="","",IF(COUNTIFS(Parametry!$C$54:$C$113,E56)=1,INDEX(Parametry!$D$54:$D$113,MATCH(E56,Parametry!$C$54:$C$113,0)),""))</f>
        <v/>
      </c>
      <c r="M56" s="7">
        <f t="shared" si="0"/>
        <v>0</v>
      </c>
      <c r="N56" s="13">
        <f>IF(AND(ISNUMBER(D56),ISNUMBER(Parametry!$G$6)),IF(AND(YEAR(D56)=Parametry!$G$6,M56&lt;=Parametry!$G$7),1,0),0)</f>
        <v>0</v>
      </c>
      <c r="O56" s="13">
        <f>IF(C56="",IF(COUNTA(D56:J56)&gt;0,1,0),IF(OR(COUNTIFS($C$9:$C$1008,C56)&lt;&gt;1,NOT(ISNUMBER(D56)),NOT(ISNUMBER(I56)),L56="",AND(F56&lt;&gt;"",COUNTIFS(Umowy!$C$9:$C$108,F56,Umowy!$D$9:$D$108,L56)&lt;&gt;1)),1,0))</f>
        <v>0</v>
      </c>
      <c r="P56" s="7" t="str">
        <f t="shared" si="1"/>
        <v/>
      </c>
      <c r="Q56" s="7" t="str">
        <f t="shared" si="2"/>
        <v/>
      </c>
    </row>
    <row r="57" spans="1:17" ht="24" customHeight="1">
      <c r="A57" s="7"/>
      <c r="B57" s="7"/>
      <c r="C57" s="3"/>
      <c r="D57" s="2"/>
      <c r="E57" s="3"/>
      <c r="F57" s="3"/>
      <c r="G57" s="3"/>
      <c r="H57" s="3"/>
      <c r="I57" s="6"/>
      <c r="J57" s="3"/>
      <c r="K57" s="7"/>
      <c r="L57" s="13" t="str">
        <f>IF(C57="","",IF(COUNTIFS(Parametry!$C$54:$C$113,E57)=1,INDEX(Parametry!$D$54:$D$113,MATCH(E57,Parametry!$C$54:$C$113,0)),""))</f>
        <v/>
      </c>
      <c r="M57" s="7">
        <f t="shared" si="0"/>
        <v>0</v>
      </c>
      <c r="N57" s="13">
        <f>IF(AND(ISNUMBER(D57),ISNUMBER(Parametry!$G$6)),IF(AND(YEAR(D57)=Parametry!$G$6,M57&lt;=Parametry!$G$7),1,0),0)</f>
        <v>0</v>
      </c>
      <c r="O57" s="13">
        <f>IF(C57="",IF(COUNTA(D57:J57)&gt;0,1,0),IF(OR(COUNTIFS($C$9:$C$1008,C57)&lt;&gt;1,NOT(ISNUMBER(D57)),NOT(ISNUMBER(I57)),L57="",AND(F57&lt;&gt;"",COUNTIFS(Umowy!$C$9:$C$108,F57,Umowy!$D$9:$D$108,L57)&lt;&gt;1)),1,0))</f>
        <v>0</v>
      </c>
      <c r="P57" s="7" t="str">
        <f t="shared" si="1"/>
        <v/>
      </c>
      <c r="Q57" s="7" t="str">
        <f t="shared" si="2"/>
        <v/>
      </c>
    </row>
    <row r="58" spans="1:17" ht="24" customHeight="1">
      <c r="A58" s="7"/>
      <c r="B58" s="7"/>
      <c r="C58" s="3"/>
      <c r="D58" s="2"/>
      <c r="E58" s="3"/>
      <c r="F58" s="3"/>
      <c r="G58" s="3"/>
      <c r="H58" s="3"/>
      <c r="I58" s="6"/>
      <c r="J58" s="3"/>
      <c r="K58" s="7"/>
      <c r="L58" s="13" t="str">
        <f>IF(C58="","",IF(COUNTIFS(Parametry!$C$54:$C$113,E58)=1,INDEX(Parametry!$D$54:$D$113,MATCH(E58,Parametry!$C$54:$C$113,0)),""))</f>
        <v/>
      </c>
      <c r="M58" s="7">
        <f t="shared" si="0"/>
        <v>0</v>
      </c>
      <c r="N58" s="13">
        <f>IF(AND(ISNUMBER(D58),ISNUMBER(Parametry!$G$6)),IF(AND(YEAR(D58)=Parametry!$G$6,M58&lt;=Parametry!$G$7),1,0),0)</f>
        <v>0</v>
      </c>
      <c r="O58" s="13">
        <f>IF(C58="",IF(COUNTA(D58:J58)&gt;0,1,0),IF(OR(COUNTIFS($C$9:$C$1008,C58)&lt;&gt;1,NOT(ISNUMBER(D58)),NOT(ISNUMBER(I58)),L58="",AND(F58&lt;&gt;"",COUNTIFS(Umowy!$C$9:$C$108,F58,Umowy!$D$9:$D$108,L58)&lt;&gt;1)),1,0))</f>
        <v>0</v>
      </c>
      <c r="P58" s="7" t="str">
        <f t="shared" si="1"/>
        <v/>
      </c>
      <c r="Q58" s="7" t="str">
        <f t="shared" si="2"/>
        <v/>
      </c>
    </row>
    <row r="59" spans="1:17" ht="24" customHeight="1">
      <c r="A59" s="7"/>
      <c r="B59" s="7"/>
      <c r="C59" s="3"/>
      <c r="D59" s="2"/>
      <c r="E59" s="3"/>
      <c r="F59" s="3"/>
      <c r="G59" s="3"/>
      <c r="H59" s="3"/>
      <c r="I59" s="6"/>
      <c r="J59" s="3"/>
      <c r="K59" s="7"/>
      <c r="L59" s="13" t="str">
        <f>IF(C59="","",IF(COUNTIFS(Parametry!$C$54:$C$113,E59)=1,INDEX(Parametry!$D$54:$D$113,MATCH(E59,Parametry!$C$54:$C$113,0)),""))</f>
        <v/>
      </c>
      <c r="M59" s="7">
        <f t="shared" si="0"/>
        <v>0</v>
      </c>
      <c r="N59" s="13">
        <f>IF(AND(ISNUMBER(D59),ISNUMBER(Parametry!$G$6)),IF(AND(YEAR(D59)=Parametry!$G$6,M59&lt;=Parametry!$G$7),1,0),0)</f>
        <v>0</v>
      </c>
      <c r="O59" s="13">
        <f>IF(C59="",IF(COUNTA(D59:J59)&gt;0,1,0),IF(OR(COUNTIFS($C$9:$C$1008,C59)&lt;&gt;1,NOT(ISNUMBER(D59)),NOT(ISNUMBER(I59)),L59="",AND(F59&lt;&gt;"",COUNTIFS(Umowy!$C$9:$C$108,F59,Umowy!$D$9:$D$108,L59)&lt;&gt;1)),1,0))</f>
        <v>0</v>
      </c>
      <c r="P59" s="7" t="str">
        <f t="shared" si="1"/>
        <v/>
      </c>
      <c r="Q59" s="7" t="str">
        <f t="shared" si="2"/>
        <v/>
      </c>
    </row>
    <row r="60" spans="1:17" ht="24" customHeight="1">
      <c r="A60" s="7"/>
      <c r="B60" s="7"/>
      <c r="C60" s="3"/>
      <c r="D60" s="2"/>
      <c r="E60" s="3"/>
      <c r="F60" s="3"/>
      <c r="G60" s="3"/>
      <c r="H60" s="3"/>
      <c r="I60" s="6"/>
      <c r="J60" s="3"/>
      <c r="K60" s="7"/>
      <c r="L60" s="13" t="str">
        <f>IF(C60="","",IF(COUNTIFS(Parametry!$C$54:$C$113,E60)=1,INDEX(Parametry!$D$54:$D$113,MATCH(E60,Parametry!$C$54:$C$113,0)),""))</f>
        <v/>
      </c>
      <c r="M60" s="7">
        <f t="shared" si="0"/>
        <v>0</v>
      </c>
      <c r="N60" s="13">
        <f>IF(AND(ISNUMBER(D60),ISNUMBER(Parametry!$G$6)),IF(AND(YEAR(D60)=Parametry!$G$6,M60&lt;=Parametry!$G$7),1,0),0)</f>
        <v>0</v>
      </c>
      <c r="O60" s="13">
        <f>IF(C60="",IF(COUNTA(D60:J60)&gt;0,1,0),IF(OR(COUNTIFS($C$9:$C$1008,C60)&lt;&gt;1,NOT(ISNUMBER(D60)),NOT(ISNUMBER(I60)),L60="",AND(F60&lt;&gt;"",COUNTIFS(Umowy!$C$9:$C$108,F60,Umowy!$D$9:$D$108,L60)&lt;&gt;1)),1,0))</f>
        <v>0</v>
      </c>
      <c r="P60" s="7" t="str">
        <f t="shared" si="1"/>
        <v/>
      </c>
      <c r="Q60" s="7" t="str">
        <f t="shared" si="2"/>
        <v/>
      </c>
    </row>
    <row r="61" spans="1:17" ht="24" customHeight="1">
      <c r="A61" s="7"/>
      <c r="B61" s="7"/>
      <c r="C61" s="3"/>
      <c r="D61" s="2"/>
      <c r="E61" s="3"/>
      <c r="F61" s="3"/>
      <c r="G61" s="3"/>
      <c r="H61" s="3"/>
      <c r="I61" s="6"/>
      <c r="J61" s="3"/>
      <c r="K61" s="7"/>
      <c r="L61" s="13" t="str">
        <f>IF(C61="","",IF(COUNTIFS(Parametry!$C$54:$C$113,E61)=1,INDEX(Parametry!$D$54:$D$113,MATCH(E61,Parametry!$C$54:$C$113,0)),""))</f>
        <v/>
      </c>
      <c r="M61" s="7">
        <f t="shared" si="0"/>
        <v>0</v>
      </c>
      <c r="N61" s="13">
        <f>IF(AND(ISNUMBER(D61),ISNUMBER(Parametry!$G$6)),IF(AND(YEAR(D61)=Parametry!$G$6,M61&lt;=Parametry!$G$7),1,0),0)</f>
        <v>0</v>
      </c>
      <c r="O61" s="13">
        <f>IF(C61="",IF(COUNTA(D61:J61)&gt;0,1,0),IF(OR(COUNTIFS($C$9:$C$1008,C61)&lt;&gt;1,NOT(ISNUMBER(D61)),NOT(ISNUMBER(I61)),L61="",AND(F61&lt;&gt;"",COUNTIFS(Umowy!$C$9:$C$108,F61,Umowy!$D$9:$D$108,L61)&lt;&gt;1)),1,0))</f>
        <v>0</v>
      </c>
      <c r="P61" s="7" t="str">
        <f t="shared" si="1"/>
        <v/>
      </c>
      <c r="Q61" s="7" t="str">
        <f t="shared" si="2"/>
        <v/>
      </c>
    </row>
    <row r="62" spans="1:17" ht="24" customHeight="1">
      <c r="A62" s="7"/>
      <c r="B62" s="7"/>
      <c r="C62" s="3"/>
      <c r="D62" s="2"/>
      <c r="E62" s="3"/>
      <c r="F62" s="3"/>
      <c r="G62" s="3"/>
      <c r="H62" s="3"/>
      <c r="I62" s="6"/>
      <c r="J62" s="3"/>
      <c r="K62" s="7"/>
      <c r="L62" s="13" t="str">
        <f>IF(C62="","",IF(COUNTIFS(Parametry!$C$54:$C$113,E62)=1,INDEX(Parametry!$D$54:$D$113,MATCH(E62,Parametry!$C$54:$C$113,0)),""))</f>
        <v/>
      </c>
      <c r="M62" s="7">
        <f t="shared" si="0"/>
        <v>0</v>
      </c>
      <c r="N62" s="13">
        <f>IF(AND(ISNUMBER(D62),ISNUMBER(Parametry!$G$6)),IF(AND(YEAR(D62)=Parametry!$G$6,M62&lt;=Parametry!$G$7),1,0),0)</f>
        <v>0</v>
      </c>
      <c r="O62" s="13">
        <f>IF(C62="",IF(COUNTA(D62:J62)&gt;0,1,0),IF(OR(COUNTIFS($C$9:$C$1008,C62)&lt;&gt;1,NOT(ISNUMBER(D62)),NOT(ISNUMBER(I62)),L62="",AND(F62&lt;&gt;"",COUNTIFS(Umowy!$C$9:$C$108,F62,Umowy!$D$9:$D$108,L62)&lt;&gt;1)),1,0))</f>
        <v>0</v>
      </c>
      <c r="P62" s="7" t="str">
        <f t="shared" si="1"/>
        <v/>
      </c>
      <c r="Q62" s="7" t="str">
        <f t="shared" si="2"/>
        <v/>
      </c>
    </row>
    <row r="63" spans="1:17" ht="24" customHeight="1">
      <c r="A63" s="7"/>
      <c r="B63" s="7"/>
      <c r="C63" s="3"/>
      <c r="D63" s="2"/>
      <c r="E63" s="3"/>
      <c r="F63" s="3"/>
      <c r="G63" s="3"/>
      <c r="H63" s="3"/>
      <c r="I63" s="6"/>
      <c r="J63" s="3"/>
      <c r="K63" s="7"/>
      <c r="L63" s="13" t="str">
        <f>IF(C63="","",IF(COUNTIFS(Parametry!$C$54:$C$113,E63)=1,INDEX(Parametry!$D$54:$D$113,MATCH(E63,Parametry!$C$54:$C$113,0)),""))</f>
        <v/>
      </c>
      <c r="M63" s="7">
        <f t="shared" si="0"/>
        <v>0</v>
      </c>
      <c r="N63" s="13">
        <f>IF(AND(ISNUMBER(D63),ISNUMBER(Parametry!$G$6)),IF(AND(YEAR(D63)=Parametry!$G$6,M63&lt;=Parametry!$G$7),1,0),0)</f>
        <v>0</v>
      </c>
      <c r="O63" s="13">
        <f>IF(C63="",IF(COUNTA(D63:J63)&gt;0,1,0),IF(OR(COUNTIFS($C$9:$C$1008,C63)&lt;&gt;1,NOT(ISNUMBER(D63)),NOT(ISNUMBER(I63)),L63="",AND(F63&lt;&gt;"",COUNTIFS(Umowy!$C$9:$C$108,F63,Umowy!$D$9:$D$108,L63)&lt;&gt;1)),1,0))</f>
        <v>0</v>
      </c>
      <c r="P63" s="7" t="str">
        <f t="shared" si="1"/>
        <v/>
      </c>
      <c r="Q63" s="7" t="str">
        <f t="shared" si="2"/>
        <v/>
      </c>
    </row>
    <row r="64" spans="1:17" ht="24" customHeight="1">
      <c r="A64" s="7"/>
      <c r="B64" s="7"/>
      <c r="C64" s="3"/>
      <c r="D64" s="2"/>
      <c r="E64" s="3"/>
      <c r="F64" s="3"/>
      <c r="G64" s="3"/>
      <c r="H64" s="3"/>
      <c r="I64" s="6"/>
      <c r="J64" s="3"/>
      <c r="K64" s="7"/>
      <c r="L64" s="13" t="str">
        <f>IF(C64="","",IF(COUNTIFS(Parametry!$C$54:$C$113,E64)=1,INDEX(Parametry!$D$54:$D$113,MATCH(E64,Parametry!$C$54:$C$113,0)),""))</f>
        <v/>
      </c>
      <c r="M64" s="7">
        <f t="shared" si="0"/>
        <v>0</v>
      </c>
      <c r="N64" s="13">
        <f>IF(AND(ISNUMBER(D64),ISNUMBER(Parametry!$G$6)),IF(AND(YEAR(D64)=Parametry!$G$6,M64&lt;=Parametry!$G$7),1,0),0)</f>
        <v>0</v>
      </c>
      <c r="O64" s="13">
        <f>IF(C64="",IF(COUNTA(D64:J64)&gt;0,1,0),IF(OR(COUNTIFS($C$9:$C$1008,C64)&lt;&gt;1,NOT(ISNUMBER(D64)),NOT(ISNUMBER(I64)),L64="",AND(F64&lt;&gt;"",COUNTIFS(Umowy!$C$9:$C$108,F64,Umowy!$D$9:$D$108,L64)&lt;&gt;1)),1,0))</f>
        <v>0</v>
      </c>
      <c r="P64" s="7" t="str">
        <f t="shared" si="1"/>
        <v/>
      </c>
      <c r="Q64" s="7" t="str">
        <f t="shared" si="2"/>
        <v/>
      </c>
    </row>
    <row r="65" spans="1:17" ht="24" customHeight="1">
      <c r="A65" s="7"/>
      <c r="B65" s="7"/>
      <c r="C65" s="3"/>
      <c r="D65" s="2"/>
      <c r="E65" s="3"/>
      <c r="F65" s="3"/>
      <c r="G65" s="3"/>
      <c r="H65" s="3"/>
      <c r="I65" s="6"/>
      <c r="J65" s="3"/>
      <c r="K65" s="7"/>
      <c r="L65" s="13" t="str">
        <f>IF(C65="","",IF(COUNTIFS(Parametry!$C$54:$C$113,E65)=1,INDEX(Parametry!$D$54:$D$113,MATCH(E65,Parametry!$C$54:$C$113,0)),""))</f>
        <v/>
      </c>
      <c r="M65" s="7">
        <f t="shared" si="0"/>
        <v>0</v>
      </c>
      <c r="N65" s="13">
        <f>IF(AND(ISNUMBER(D65),ISNUMBER(Parametry!$G$6)),IF(AND(YEAR(D65)=Parametry!$G$6,M65&lt;=Parametry!$G$7),1,0),0)</f>
        <v>0</v>
      </c>
      <c r="O65" s="13">
        <f>IF(C65="",IF(COUNTA(D65:J65)&gt;0,1,0),IF(OR(COUNTIFS($C$9:$C$1008,C65)&lt;&gt;1,NOT(ISNUMBER(D65)),NOT(ISNUMBER(I65)),L65="",AND(F65&lt;&gt;"",COUNTIFS(Umowy!$C$9:$C$108,F65,Umowy!$D$9:$D$108,L65)&lt;&gt;1)),1,0))</f>
        <v>0</v>
      </c>
      <c r="P65" s="7" t="str">
        <f t="shared" si="1"/>
        <v/>
      </c>
      <c r="Q65" s="7" t="str">
        <f t="shared" si="2"/>
        <v/>
      </c>
    </row>
    <row r="66" spans="1:17" ht="24" customHeight="1">
      <c r="A66" s="7"/>
      <c r="B66" s="7"/>
      <c r="C66" s="3"/>
      <c r="D66" s="2"/>
      <c r="E66" s="3"/>
      <c r="F66" s="3"/>
      <c r="G66" s="3"/>
      <c r="H66" s="3"/>
      <c r="I66" s="6"/>
      <c r="J66" s="3"/>
      <c r="K66" s="7"/>
      <c r="L66" s="13" t="str">
        <f>IF(C66="","",IF(COUNTIFS(Parametry!$C$54:$C$113,E66)=1,INDEX(Parametry!$D$54:$D$113,MATCH(E66,Parametry!$C$54:$C$113,0)),""))</f>
        <v/>
      </c>
      <c r="M66" s="7">
        <f t="shared" si="0"/>
        <v>0</v>
      </c>
      <c r="N66" s="13">
        <f>IF(AND(ISNUMBER(D66),ISNUMBER(Parametry!$G$6)),IF(AND(YEAR(D66)=Parametry!$G$6,M66&lt;=Parametry!$G$7),1,0),0)</f>
        <v>0</v>
      </c>
      <c r="O66" s="13">
        <f>IF(C66="",IF(COUNTA(D66:J66)&gt;0,1,0),IF(OR(COUNTIFS($C$9:$C$1008,C66)&lt;&gt;1,NOT(ISNUMBER(D66)),NOT(ISNUMBER(I66)),L66="",AND(F66&lt;&gt;"",COUNTIFS(Umowy!$C$9:$C$108,F66,Umowy!$D$9:$D$108,L66)&lt;&gt;1)),1,0))</f>
        <v>0</v>
      </c>
      <c r="P66" s="7" t="str">
        <f t="shared" si="1"/>
        <v/>
      </c>
      <c r="Q66" s="7" t="str">
        <f t="shared" si="2"/>
        <v/>
      </c>
    </row>
    <row r="67" spans="1:17" ht="24" customHeight="1">
      <c r="A67" s="7"/>
      <c r="B67" s="7"/>
      <c r="C67" s="3"/>
      <c r="D67" s="2"/>
      <c r="E67" s="3"/>
      <c r="F67" s="3"/>
      <c r="G67" s="3"/>
      <c r="H67" s="3"/>
      <c r="I67" s="6"/>
      <c r="J67" s="3"/>
      <c r="K67" s="7"/>
      <c r="L67" s="13" t="str">
        <f>IF(C67="","",IF(COUNTIFS(Parametry!$C$54:$C$113,E67)=1,INDEX(Parametry!$D$54:$D$113,MATCH(E67,Parametry!$C$54:$C$113,0)),""))</f>
        <v/>
      </c>
      <c r="M67" s="7">
        <f t="shared" si="0"/>
        <v>0</v>
      </c>
      <c r="N67" s="13">
        <f>IF(AND(ISNUMBER(D67),ISNUMBER(Parametry!$G$6)),IF(AND(YEAR(D67)=Parametry!$G$6,M67&lt;=Parametry!$G$7),1,0),0)</f>
        <v>0</v>
      </c>
      <c r="O67" s="13">
        <f>IF(C67="",IF(COUNTA(D67:J67)&gt;0,1,0),IF(OR(COUNTIFS($C$9:$C$1008,C67)&lt;&gt;1,NOT(ISNUMBER(D67)),NOT(ISNUMBER(I67)),L67="",AND(F67&lt;&gt;"",COUNTIFS(Umowy!$C$9:$C$108,F67,Umowy!$D$9:$D$108,L67)&lt;&gt;1)),1,0))</f>
        <v>0</v>
      </c>
      <c r="P67" s="7" t="str">
        <f t="shared" si="1"/>
        <v/>
      </c>
      <c r="Q67" s="7" t="str">
        <f t="shared" si="2"/>
        <v/>
      </c>
    </row>
    <row r="68" spans="1:17" ht="24" customHeight="1">
      <c r="A68" s="7"/>
      <c r="B68" s="7"/>
      <c r="C68" s="3"/>
      <c r="D68" s="2"/>
      <c r="E68" s="3"/>
      <c r="F68" s="3"/>
      <c r="G68" s="3"/>
      <c r="H68" s="3"/>
      <c r="I68" s="6"/>
      <c r="J68" s="3"/>
      <c r="K68" s="7"/>
      <c r="L68" s="13" t="str">
        <f>IF(C68="","",IF(COUNTIFS(Parametry!$C$54:$C$113,E68)=1,INDEX(Parametry!$D$54:$D$113,MATCH(E68,Parametry!$C$54:$C$113,0)),""))</f>
        <v/>
      </c>
      <c r="M68" s="7">
        <f t="shared" si="0"/>
        <v>0</v>
      </c>
      <c r="N68" s="13">
        <f>IF(AND(ISNUMBER(D68),ISNUMBER(Parametry!$G$6)),IF(AND(YEAR(D68)=Parametry!$G$6,M68&lt;=Parametry!$G$7),1,0),0)</f>
        <v>0</v>
      </c>
      <c r="O68" s="13">
        <f>IF(C68="",IF(COUNTA(D68:J68)&gt;0,1,0),IF(OR(COUNTIFS($C$9:$C$1008,C68)&lt;&gt;1,NOT(ISNUMBER(D68)),NOT(ISNUMBER(I68)),L68="",AND(F68&lt;&gt;"",COUNTIFS(Umowy!$C$9:$C$108,F68,Umowy!$D$9:$D$108,L68)&lt;&gt;1)),1,0))</f>
        <v>0</v>
      </c>
      <c r="P68" s="7" t="str">
        <f t="shared" si="1"/>
        <v/>
      </c>
      <c r="Q68" s="7" t="str">
        <f t="shared" si="2"/>
        <v/>
      </c>
    </row>
    <row r="69" spans="1:17" ht="24" customHeight="1">
      <c r="A69" s="7"/>
      <c r="B69" s="7"/>
      <c r="C69" s="3"/>
      <c r="D69" s="2"/>
      <c r="E69" s="3"/>
      <c r="F69" s="3"/>
      <c r="G69" s="3"/>
      <c r="H69" s="3"/>
      <c r="I69" s="6"/>
      <c r="J69" s="3"/>
      <c r="K69" s="7"/>
      <c r="L69" s="13" t="str">
        <f>IF(C69="","",IF(COUNTIFS(Parametry!$C$54:$C$113,E69)=1,INDEX(Parametry!$D$54:$D$113,MATCH(E69,Parametry!$C$54:$C$113,0)),""))</f>
        <v/>
      </c>
      <c r="M69" s="7">
        <f t="shared" si="0"/>
        <v>0</v>
      </c>
      <c r="N69" s="13">
        <f>IF(AND(ISNUMBER(D69),ISNUMBER(Parametry!$G$6)),IF(AND(YEAR(D69)=Parametry!$G$6,M69&lt;=Parametry!$G$7),1,0),0)</f>
        <v>0</v>
      </c>
      <c r="O69" s="13">
        <f>IF(C69="",IF(COUNTA(D69:J69)&gt;0,1,0),IF(OR(COUNTIFS($C$9:$C$1008,C69)&lt;&gt;1,NOT(ISNUMBER(D69)),NOT(ISNUMBER(I69)),L69="",AND(F69&lt;&gt;"",COUNTIFS(Umowy!$C$9:$C$108,F69,Umowy!$D$9:$D$108,L69)&lt;&gt;1)),1,0))</f>
        <v>0</v>
      </c>
      <c r="P69" s="7" t="str">
        <f t="shared" si="1"/>
        <v/>
      </c>
      <c r="Q69" s="7" t="str">
        <f t="shared" si="2"/>
        <v/>
      </c>
    </row>
    <row r="70" spans="1:17" ht="24" customHeight="1">
      <c r="A70" s="7"/>
      <c r="B70" s="7"/>
      <c r="C70" s="3"/>
      <c r="D70" s="2"/>
      <c r="E70" s="3"/>
      <c r="F70" s="3"/>
      <c r="G70" s="3"/>
      <c r="H70" s="3"/>
      <c r="I70" s="6"/>
      <c r="J70" s="3"/>
      <c r="K70" s="7"/>
      <c r="L70" s="13" t="str">
        <f>IF(C70="","",IF(COUNTIFS(Parametry!$C$54:$C$113,E70)=1,INDEX(Parametry!$D$54:$D$113,MATCH(E70,Parametry!$C$54:$C$113,0)),""))</f>
        <v/>
      </c>
      <c r="M70" s="7">
        <f t="shared" si="0"/>
        <v>0</v>
      </c>
      <c r="N70" s="13">
        <f>IF(AND(ISNUMBER(D70),ISNUMBER(Parametry!$G$6)),IF(AND(YEAR(D70)=Parametry!$G$6,M70&lt;=Parametry!$G$7),1,0),0)</f>
        <v>0</v>
      </c>
      <c r="O70" s="13">
        <f>IF(C70="",IF(COUNTA(D70:J70)&gt;0,1,0),IF(OR(COUNTIFS($C$9:$C$1008,C70)&lt;&gt;1,NOT(ISNUMBER(D70)),NOT(ISNUMBER(I70)),L70="",AND(F70&lt;&gt;"",COUNTIFS(Umowy!$C$9:$C$108,F70,Umowy!$D$9:$D$108,L70)&lt;&gt;1)),1,0))</f>
        <v>0</v>
      </c>
      <c r="P70" s="7" t="str">
        <f t="shared" si="1"/>
        <v/>
      </c>
      <c r="Q70" s="7" t="str">
        <f t="shared" si="2"/>
        <v/>
      </c>
    </row>
    <row r="71" spans="1:17" ht="24" customHeight="1">
      <c r="A71" s="7"/>
      <c r="B71" s="7"/>
      <c r="C71" s="3"/>
      <c r="D71" s="2"/>
      <c r="E71" s="3"/>
      <c r="F71" s="3"/>
      <c r="G71" s="3"/>
      <c r="H71" s="3"/>
      <c r="I71" s="6"/>
      <c r="J71" s="3"/>
      <c r="K71" s="7"/>
      <c r="L71" s="13" t="str">
        <f>IF(C71="","",IF(COUNTIFS(Parametry!$C$54:$C$113,E71)=1,INDEX(Parametry!$D$54:$D$113,MATCH(E71,Parametry!$C$54:$C$113,0)),""))</f>
        <v/>
      </c>
      <c r="M71" s="7">
        <f t="shared" si="0"/>
        <v>0</v>
      </c>
      <c r="N71" s="13">
        <f>IF(AND(ISNUMBER(D71),ISNUMBER(Parametry!$G$6)),IF(AND(YEAR(D71)=Parametry!$G$6,M71&lt;=Parametry!$G$7),1,0),0)</f>
        <v>0</v>
      </c>
      <c r="O71" s="13">
        <f>IF(C71="",IF(COUNTA(D71:J71)&gt;0,1,0),IF(OR(COUNTIFS($C$9:$C$1008,C71)&lt;&gt;1,NOT(ISNUMBER(D71)),NOT(ISNUMBER(I71)),L71="",AND(F71&lt;&gt;"",COUNTIFS(Umowy!$C$9:$C$108,F71,Umowy!$D$9:$D$108,L71)&lt;&gt;1)),1,0))</f>
        <v>0</v>
      </c>
      <c r="P71" s="7" t="str">
        <f t="shared" si="1"/>
        <v/>
      </c>
      <c r="Q71" s="7" t="str">
        <f t="shared" si="2"/>
        <v/>
      </c>
    </row>
    <row r="72" spans="1:17" ht="24" customHeight="1">
      <c r="A72" s="7"/>
      <c r="B72" s="7"/>
      <c r="C72" s="3"/>
      <c r="D72" s="2"/>
      <c r="E72" s="3"/>
      <c r="F72" s="3"/>
      <c r="G72" s="3"/>
      <c r="H72" s="3"/>
      <c r="I72" s="6"/>
      <c r="J72" s="3"/>
      <c r="K72" s="7"/>
      <c r="L72" s="13" t="str">
        <f>IF(C72="","",IF(COUNTIFS(Parametry!$C$54:$C$113,E72)=1,INDEX(Parametry!$D$54:$D$113,MATCH(E72,Parametry!$C$54:$C$113,0)),""))</f>
        <v/>
      </c>
      <c r="M72" s="7">
        <f t="shared" si="0"/>
        <v>0</v>
      </c>
      <c r="N72" s="13">
        <f>IF(AND(ISNUMBER(D72),ISNUMBER(Parametry!$G$6)),IF(AND(YEAR(D72)=Parametry!$G$6,M72&lt;=Parametry!$G$7),1,0),0)</f>
        <v>0</v>
      </c>
      <c r="O72" s="13">
        <f>IF(C72="",IF(COUNTA(D72:J72)&gt;0,1,0),IF(OR(COUNTIFS($C$9:$C$1008,C72)&lt;&gt;1,NOT(ISNUMBER(D72)),NOT(ISNUMBER(I72)),L72="",AND(F72&lt;&gt;"",COUNTIFS(Umowy!$C$9:$C$108,F72,Umowy!$D$9:$D$108,L72)&lt;&gt;1)),1,0))</f>
        <v>0</v>
      </c>
      <c r="P72" s="7" t="str">
        <f t="shared" si="1"/>
        <v/>
      </c>
      <c r="Q72" s="7" t="str">
        <f t="shared" si="2"/>
        <v/>
      </c>
    </row>
    <row r="73" spans="1:17" ht="24" customHeight="1">
      <c r="A73" s="7"/>
      <c r="B73" s="7"/>
      <c r="C73" s="3"/>
      <c r="D73" s="2"/>
      <c r="E73" s="3"/>
      <c r="F73" s="3"/>
      <c r="G73" s="3"/>
      <c r="H73" s="3"/>
      <c r="I73" s="6"/>
      <c r="J73" s="3"/>
      <c r="K73" s="7"/>
      <c r="L73" s="13" t="str">
        <f>IF(C73="","",IF(COUNTIFS(Parametry!$C$54:$C$113,E73)=1,INDEX(Parametry!$D$54:$D$113,MATCH(E73,Parametry!$C$54:$C$113,0)),""))</f>
        <v/>
      </c>
      <c r="M73" s="7">
        <f t="shared" ref="M73:M136" si="3">IF(ISNUMBER(D73),MONTH(D73),0)</f>
        <v>0</v>
      </c>
      <c r="N73" s="13">
        <f>IF(AND(ISNUMBER(D73),ISNUMBER(Parametry!$G$6)),IF(AND(YEAR(D73)=Parametry!$G$6,M73&lt;=Parametry!$G$7),1,0),0)</f>
        <v>0</v>
      </c>
      <c r="O73" s="13">
        <f>IF(C73="",IF(COUNTA(D73:J73)&gt;0,1,0),IF(OR(COUNTIFS($C$9:$C$1008,C73)&lt;&gt;1,NOT(ISNUMBER(D73)),NOT(ISNUMBER(I73)),L73="",AND(F73&lt;&gt;"",COUNTIFS(Umowy!$C$9:$C$108,F73,Umowy!$D$9:$D$108,L73)&lt;&gt;1)),1,0))</f>
        <v>0</v>
      </c>
      <c r="P73" s="7" t="str">
        <f t="shared" ref="P73:P136" si="4">IF(O73=0,"",IF(C73="","Missing RowID",IF(COUNTIFS($C$9:$C$1008,C73)&lt;&gt;1,"Duplicate RowID",IF(L73="","Unmapped ERPKey",IF(NOT(ISNUMBER(D73)),"Invalid Date",IF(NOT(ISNUMBER(I73)),"Invalid AmountPLN","CommitmentID / BudgetID"))))))</f>
        <v/>
      </c>
      <c r="Q73" s="7" t="str">
        <f t="shared" ref="Q73:Q136" si="5">IF(C73="","",IF(N73=1,"","Nie ujęto w wykonaniu okresu"))</f>
        <v/>
      </c>
    </row>
    <row r="74" spans="1:17" ht="24" customHeight="1">
      <c r="A74" s="7"/>
      <c r="B74" s="7"/>
      <c r="C74" s="3"/>
      <c r="D74" s="2"/>
      <c r="E74" s="3"/>
      <c r="F74" s="3"/>
      <c r="G74" s="3"/>
      <c r="H74" s="3"/>
      <c r="I74" s="6"/>
      <c r="J74" s="3"/>
      <c r="K74" s="7"/>
      <c r="L74" s="13" t="str">
        <f>IF(C74="","",IF(COUNTIFS(Parametry!$C$54:$C$113,E74)=1,INDEX(Parametry!$D$54:$D$113,MATCH(E74,Parametry!$C$54:$C$113,0)),""))</f>
        <v/>
      </c>
      <c r="M74" s="7">
        <f t="shared" si="3"/>
        <v>0</v>
      </c>
      <c r="N74" s="13">
        <f>IF(AND(ISNUMBER(D74),ISNUMBER(Parametry!$G$6)),IF(AND(YEAR(D74)=Parametry!$G$6,M74&lt;=Parametry!$G$7),1,0),0)</f>
        <v>0</v>
      </c>
      <c r="O74" s="13">
        <f>IF(C74="",IF(COUNTA(D74:J74)&gt;0,1,0),IF(OR(COUNTIFS($C$9:$C$1008,C74)&lt;&gt;1,NOT(ISNUMBER(D74)),NOT(ISNUMBER(I74)),L74="",AND(F74&lt;&gt;"",COUNTIFS(Umowy!$C$9:$C$108,F74,Umowy!$D$9:$D$108,L74)&lt;&gt;1)),1,0))</f>
        <v>0</v>
      </c>
      <c r="P74" s="7" t="str">
        <f t="shared" si="4"/>
        <v/>
      </c>
      <c r="Q74" s="7" t="str">
        <f t="shared" si="5"/>
        <v/>
      </c>
    </row>
    <row r="75" spans="1:17" ht="24" customHeight="1">
      <c r="A75" s="7"/>
      <c r="B75" s="7"/>
      <c r="C75" s="3"/>
      <c r="D75" s="2"/>
      <c r="E75" s="3"/>
      <c r="F75" s="3"/>
      <c r="G75" s="3"/>
      <c r="H75" s="3"/>
      <c r="I75" s="6"/>
      <c r="J75" s="3"/>
      <c r="K75" s="7"/>
      <c r="L75" s="13" t="str">
        <f>IF(C75="","",IF(COUNTIFS(Parametry!$C$54:$C$113,E75)=1,INDEX(Parametry!$D$54:$D$113,MATCH(E75,Parametry!$C$54:$C$113,0)),""))</f>
        <v/>
      </c>
      <c r="M75" s="7">
        <f t="shared" si="3"/>
        <v>0</v>
      </c>
      <c r="N75" s="13">
        <f>IF(AND(ISNUMBER(D75),ISNUMBER(Parametry!$G$6)),IF(AND(YEAR(D75)=Parametry!$G$6,M75&lt;=Parametry!$G$7),1,0),0)</f>
        <v>0</v>
      </c>
      <c r="O75" s="13">
        <f>IF(C75="",IF(COUNTA(D75:J75)&gt;0,1,0),IF(OR(COUNTIFS($C$9:$C$1008,C75)&lt;&gt;1,NOT(ISNUMBER(D75)),NOT(ISNUMBER(I75)),L75="",AND(F75&lt;&gt;"",COUNTIFS(Umowy!$C$9:$C$108,F75,Umowy!$D$9:$D$108,L75)&lt;&gt;1)),1,0))</f>
        <v>0</v>
      </c>
      <c r="P75" s="7" t="str">
        <f t="shared" si="4"/>
        <v/>
      </c>
      <c r="Q75" s="7" t="str">
        <f t="shared" si="5"/>
        <v/>
      </c>
    </row>
    <row r="76" spans="1:17" ht="24" customHeight="1">
      <c r="A76" s="7"/>
      <c r="B76" s="7"/>
      <c r="C76" s="3"/>
      <c r="D76" s="2"/>
      <c r="E76" s="3"/>
      <c r="F76" s="3"/>
      <c r="G76" s="3"/>
      <c r="H76" s="3"/>
      <c r="I76" s="6"/>
      <c r="J76" s="3"/>
      <c r="K76" s="7"/>
      <c r="L76" s="13" t="str">
        <f>IF(C76="","",IF(COUNTIFS(Parametry!$C$54:$C$113,E76)=1,INDEX(Parametry!$D$54:$D$113,MATCH(E76,Parametry!$C$54:$C$113,0)),""))</f>
        <v/>
      </c>
      <c r="M76" s="7">
        <f t="shared" si="3"/>
        <v>0</v>
      </c>
      <c r="N76" s="13">
        <f>IF(AND(ISNUMBER(D76),ISNUMBER(Parametry!$G$6)),IF(AND(YEAR(D76)=Parametry!$G$6,M76&lt;=Parametry!$G$7),1,0),0)</f>
        <v>0</v>
      </c>
      <c r="O76" s="13">
        <f>IF(C76="",IF(COUNTA(D76:J76)&gt;0,1,0),IF(OR(COUNTIFS($C$9:$C$1008,C76)&lt;&gt;1,NOT(ISNUMBER(D76)),NOT(ISNUMBER(I76)),L76="",AND(F76&lt;&gt;"",COUNTIFS(Umowy!$C$9:$C$108,F76,Umowy!$D$9:$D$108,L76)&lt;&gt;1)),1,0))</f>
        <v>0</v>
      </c>
      <c r="P76" s="7" t="str">
        <f t="shared" si="4"/>
        <v/>
      </c>
      <c r="Q76" s="7" t="str">
        <f t="shared" si="5"/>
        <v/>
      </c>
    </row>
    <row r="77" spans="1:17" ht="24" customHeight="1">
      <c r="A77" s="7"/>
      <c r="B77" s="7"/>
      <c r="C77" s="3"/>
      <c r="D77" s="2"/>
      <c r="E77" s="3"/>
      <c r="F77" s="3"/>
      <c r="G77" s="3"/>
      <c r="H77" s="3"/>
      <c r="I77" s="6"/>
      <c r="J77" s="3"/>
      <c r="K77" s="7"/>
      <c r="L77" s="13" t="str">
        <f>IF(C77="","",IF(COUNTIFS(Parametry!$C$54:$C$113,E77)=1,INDEX(Parametry!$D$54:$D$113,MATCH(E77,Parametry!$C$54:$C$113,0)),""))</f>
        <v/>
      </c>
      <c r="M77" s="7">
        <f t="shared" si="3"/>
        <v>0</v>
      </c>
      <c r="N77" s="13">
        <f>IF(AND(ISNUMBER(D77),ISNUMBER(Parametry!$G$6)),IF(AND(YEAR(D77)=Parametry!$G$6,M77&lt;=Parametry!$G$7),1,0),0)</f>
        <v>0</v>
      </c>
      <c r="O77" s="13">
        <f>IF(C77="",IF(COUNTA(D77:J77)&gt;0,1,0),IF(OR(COUNTIFS($C$9:$C$1008,C77)&lt;&gt;1,NOT(ISNUMBER(D77)),NOT(ISNUMBER(I77)),L77="",AND(F77&lt;&gt;"",COUNTIFS(Umowy!$C$9:$C$108,F77,Umowy!$D$9:$D$108,L77)&lt;&gt;1)),1,0))</f>
        <v>0</v>
      </c>
      <c r="P77" s="7" t="str">
        <f t="shared" si="4"/>
        <v/>
      </c>
      <c r="Q77" s="7" t="str">
        <f t="shared" si="5"/>
        <v/>
      </c>
    </row>
    <row r="78" spans="1:17" ht="24" customHeight="1">
      <c r="A78" s="7"/>
      <c r="B78" s="7"/>
      <c r="C78" s="3"/>
      <c r="D78" s="2"/>
      <c r="E78" s="3"/>
      <c r="F78" s="3"/>
      <c r="G78" s="3"/>
      <c r="H78" s="3"/>
      <c r="I78" s="6"/>
      <c r="J78" s="3"/>
      <c r="K78" s="7"/>
      <c r="L78" s="13" t="str">
        <f>IF(C78="","",IF(COUNTIFS(Parametry!$C$54:$C$113,E78)=1,INDEX(Parametry!$D$54:$D$113,MATCH(E78,Parametry!$C$54:$C$113,0)),""))</f>
        <v/>
      </c>
      <c r="M78" s="7">
        <f t="shared" si="3"/>
        <v>0</v>
      </c>
      <c r="N78" s="13">
        <f>IF(AND(ISNUMBER(D78),ISNUMBER(Parametry!$G$6)),IF(AND(YEAR(D78)=Parametry!$G$6,M78&lt;=Parametry!$G$7),1,0),0)</f>
        <v>0</v>
      </c>
      <c r="O78" s="13">
        <f>IF(C78="",IF(COUNTA(D78:J78)&gt;0,1,0),IF(OR(COUNTIFS($C$9:$C$1008,C78)&lt;&gt;1,NOT(ISNUMBER(D78)),NOT(ISNUMBER(I78)),L78="",AND(F78&lt;&gt;"",COUNTIFS(Umowy!$C$9:$C$108,F78,Umowy!$D$9:$D$108,L78)&lt;&gt;1)),1,0))</f>
        <v>0</v>
      </c>
      <c r="P78" s="7" t="str">
        <f t="shared" si="4"/>
        <v/>
      </c>
      <c r="Q78" s="7" t="str">
        <f t="shared" si="5"/>
        <v/>
      </c>
    </row>
    <row r="79" spans="1:17" ht="24" customHeight="1">
      <c r="A79" s="7"/>
      <c r="B79" s="7"/>
      <c r="C79" s="3"/>
      <c r="D79" s="2"/>
      <c r="E79" s="3"/>
      <c r="F79" s="3"/>
      <c r="G79" s="3"/>
      <c r="H79" s="3"/>
      <c r="I79" s="6"/>
      <c r="J79" s="3"/>
      <c r="K79" s="7"/>
      <c r="L79" s="13" t="str">
        <f>IF(C79="","",IF(COUNTIFS(Parametry!$C$54:$C$113,E79)=1,INDEX(Parametry!$D$54:$D$113,MATCH(E79,Parametry!$C$54:$C$113,0)),""))</f>
        <v/>
      </c>
      <c r="M79" s="7">
        <f t="shared" si="3"/>
        <v>0</v>
      </c>
      <c r="N79" s="13">
        <f>IF(AND(ISNUMBER(D79),ISNUMBER(Parametry!$G$6)),IF(AND(YEAR(D79)=Parametry!$G$6,M79&lt;=Parametry!$G$7),1,0),0)</f>
        <v>0</v>
      </c>
      <c r="O79" s="13">
        <f>IF(C79="",IF(COUNTA(D79:J79)&gt;0,1,0),IF(OR(COUNTIFS($C$9:$C$1008,C79)&lt;&gt;1,NOT(ISNUMBER(D79)),NOT(ISNUMBER(I79)),L79="",AND(F79&lt;&gt;"",COUNTIFS(Umowy!$C$9:$C$108,F79,Umowy!$D$9:$D$108,L79)&lt;&gt;1)),1,0))</f>
        <v>0</v>
      </c>
      <c r="P79" s="7" t="str">
        <f t="shared" si="4"/>
        <v/>
      </c>
      <c r="Q79" s="7" t="str">
        <f t="shared" si="5"/>
        <v/>
      </c>
    </row>
    <row r="80" spans="1:17" ht="24" customHeight="1">
      <c r="A80" s="7"/>
      <c r="B80" s="7"/>
      <c r="C80" s="3"/>
      <c r="D80" s="2"/>
      <c r="E80" s="3"/>
      <c r="F80" s="3"/>
      <c r="G80" s="3"/>
      <c r="H80" s="3"/>
      <c r="I80" s="6"/>
      <c r="J80" s="3"/>
      <c r="K80" s="7"/>
      <c r="L80" s="13" t="str">
        <f>IF(C80="","",IF(COUNTIFS(Parametry!$C$54:$C$113,E80)=1,INDEX(Parametry!$D$54:$D$113,MATCH(E80,Parametry!$C$54:$C$113,0)),""))</f>
        <v/>
      </c>
      <c r="M80" s="7">
        <f t="shared" si="3"/>
        <v>0</v>
      </c>
      <c r="N80" s="13">
        <f>IF(AND(ISNUMBER(D80),ISNUMBER(Parametry!$G$6)),IF(AND(YEAR(D80)=Parametry!$G$6,M80&lt;=Parametry!$G$7),1,0),0)</f>
        <v>0</v>
      </c>
      <c r="O80" s="13">
        <f>IF(C80="",IF(COUNTA(D80:J80)&gt;0,1,0),IF(OR(COUNTIFS($C$9:$C$1008,C80)&lt;&gt;1,NOT(ISNUMBER(D80)),NOT(ISNUMBER(I80)),L80="",AND(F80&lt;&gt;"",COUNTIFS(Umowy!$C$9:$C$108,F80,Umowy!$D$9:$D$108,L80)&lt;&gt;1)),1,0))</f>
        <v>0</v>
      </c>
      <c r="P80" s="7" t="str">
        <f t="shared" si="4"/>
        <v/>
      </c>
      <c r="Q80" s="7" t="str">
        <f t="shared" si="5"/>
        <v/>
      </c>
    </row>
    <row r="81" spans="1:17" ht="24" customHeight="1">
      <c r="A81" s="7"/>
      <c r="B81" s="7"/>
      <c r="C81" s="3"/>
      <c r="D81" s="2"/>
      <c r="E81" s="3"/>
      <c r="F81" s="3"/>
      <c r="G81" s="3"/>
      <c r="H81" s="3"/>
      <c r="I81" s="6"/>
      <c r="J81" s="3"/>
      <c r="K81" s="7"/>
      <c r="L81" s="13" t="str">
        <f>IF(C81="","",IF(COUNTIFS(Parametry!$C$54:$C$113,E81)=1,INDEX(Parametry!$D$54:$D$113,MATCH(E81,Parametry!$C$54:$C$113,0)),""))</f>
        <v/>
      </c>
      <c r="M81" s="7">
        <f t="shared" si="3"/>
        <v>0</v>
      </c>
      <c r="N81" s="13">
        <f>IF(AND(ISNUMBER(D81),ISNUMBER(Parametry!$G$6)),IF(AND(YEAR(D81)=Parametry!$G$6,M81&lt;=Parametry!$G$7),1,0),0)</f>
        <v>0</v>
      </c>
      <c r="O81" s="13">
        <f>IF(C81="",IF(COUNTA(D81:J81)&gt;0,1,0),IF(OR(COUNTIFS($C$9:$C$1008,C81)&lt;&gt;1,NOT(ISNUMBER(D81)),NOT(ISNUMBER(I81)),L81="",AND(F81&lt;&gt;"",COUNTIFS(Umowy!$C$9:$C$108,F81,Umowy!$D$9:$D$108,L81)&lt;&gt;1)),1,0))</f>
        <v>0</v>
      </c>
      <c r="P81" s="7" t="str">
        <f t="shared" si="4"/>
        <v/>
      </c>
      <c r="Q81" s="7" t="str">
        <f t="shared" si="5"/>
        <v/>
      </c>
    </row>
    <row r="82" spans="1:17" ht="24" customHeight="1">
      <c r="A82" s="7"/>
      <c r="B82" s="7"/>
      <c r="C82" s="3"/>
      <c r="D82" s="2"/>
      <c r="E82" s="3"/>
      <c r="F82" s="3"/>
      <c r="G82" s="3"/>
      <c r="H82" s="3"/>
      <c r="I82" s="6"/>
      <c r="J82" s="3"/>
      <c r="K82" s="7"/>
      <c r="L82" s="13" t="str">
        <f>IF(C82="","",IF(COUNTIFS(Parametry!$C$54:$C$113,E82)=1,INDEX(Parametry!$D$54:$D$113,MATCH(E82,Parametry!$C$54:$C$113,0)),""))</f>
        <v/>
      </c>
      <c r="M82" s="7">
        <f t="shared" si="3"/>
        <v>0</v>
      </c>
      <c r="N82" s="13">
        <f>IF(AND(ISNUMBER(D82),ISNUMBER(Parametry!$G$6)),IF(AND(YEAR(D82)=Parametry!$G$6,M82&lt;=Parametry!$G$7),1,0),0)</f>
        <v>0</v>
      </c>
      <c r="O82" s="13">
        <f>IF(C82="",IF(COUNTA(D82:J82)&gt;0,1,0),IF(OR(COUNTIFS($C$9:$C$1008,C82)&lt;&gt;1,NOT(ISNUMBER(D82)),NOT(ISNUMBER(I82)),L82="",AND(F82&lt;&gt;"",COUNTIFS(Umowy!$C$9:$C$108,F82,Umowy!$D$9:$D$108,L82)&lt;&gt;1)),1,0))</f>
        <v>0</v>
      </c>
      <c r="P82" s="7" t="str">
        <f t="shared" si="4"/>
        <v/>
      </c>
      <c r="Q82" s="7" t="str">
        <f t="shared" si="5"/>
        <v/>
      </c>
    </row>
    <row r="83" spans="1:17" ht="24" customHeight="1">
      <c r="A83" s="7"/>
      <c r="B83" s="7"/>
      <c r="C83" s="3"/>
      <c r="D83" s="2"/>
      <c r="E83" s="3"/>
      <c r="F83" s="3"/>
      <c r="G83" s="3"/>
      <c r="H83" s="3"/>
      <c r="I83" s="6"/>
      <c r="J83" s="3"/>
      <c r="K83" s="7"/>
      <c r="L83" s="13" t="str">
        <f>IF(C83="","",IF(COUNTIFS(Parametry!$C$54:$C$113,E83)=1,INDEX(Parametry!$D$54:$D$113,MATCH(E83,Parametry!$C$54:$C$113,0)),""))</f>
        <v/>
      </c>
      <c r="M83" s="7">
        <f t="shared" si="3"/>
        <v>0</v>
      </c>
      <c r="N83" s="13">
        <f>IF(AND(ISNUMBER(D83),ISNUMBER(Parametry!$G$6)),IF(AND(YEAR(D83)=Parametry!$G$6,M83&lt;=Parametry!$G$7),1,0),0)</f>
        <v>0</v>
      </c>
      <c r="O83" s="13">
        <f>IF(C83="",IF(COUNTA(D83:J83)&gt;0,1,0),IF(OR(COUNTIFS($C$9:$C$1008,C83)&lt;&gt;1,NOT(ISNUMBER(D83)),NOT(ISNUMBER(I83)),L83="",AND(F83&lt;&gt;"",COUNTIFS(Umowy!$C$9:$C$108,F83,Umowy!$D$9:$D$108,L83)&lt;&gt;1)),1,0))</f>
        <v>0</v>
      </c>
      <c r="P83" s="7" t="str">
        <f t="shared" si="4"/>
        <v/>
      </c>
      <c r="Q83" s="7" t="str">
        <f t="shared" si="5"/>
        <v/>
      </c>
    </row>
    <row r="84" spans="1:17" ht="24" customHeight="1">
      <c r="A84" s="7"/>
      <c r="B84" s="7"/>
      <c r="C84" s="3"/>
      <c r="D84" s="2"/>
      <c r="E84" s="3"/>
      <c r="F84" s="3"/>
      <c r="G84" s="3"/>
      <c r="H84" s="3"/>
      <c r="I84" s="6"/>
      <c r="J84" s="3"/>
      <c r="K84" s="7"/>
      <c r="L84" s="13" t="str">
        <f>IF(C84="","",IF(COUNTIFS(Parametry!$C$54:$C$113,E84)=1,INDEX(Parametry!$D$54:$D$113,MATCH(E84,Parametry!$C$54:$C$113,0)),""))</f>
        <v/>
      </c>
      <c r="M84" s="7">
        <f t="shared" si="3"/>
        <v>0</v>
      </c>
      <c r="N84" s="13">
        <f>IF(AND(ISNUMBER(D84),ISNUMBER(Parametry!$G$6)),IF(AND(YEAR(D84)=Parametry!$G$6,M84&lt;=Parametry!$G$7),1,0),0)</f>
        <v>0</v>
      </c>
      <c r="O84" s="13">
        <f>IF(C84="",IF(COUNTA(D84:J84)&gt;0,1,0),IF(OR(COUNTIFS($C$9:$C$1008,C84)&lt;&gt;1,NOT(ISNUMBER(D84)),NOT(ISNUMBER(I84)),L84="",AND(F84&lt;&gt;"",COUNTIFS(Umowy!$C$9:$C$108,F84,Umowy!$D$9:$D$108,L84)&lt;&gt;1)),1,0))</f>
        <v>0</v>
      </c>
      <c r="P84" s="7" t="str">
        <f t="shared" si="4"/>
        <v/>
      </c>
      <c r="Q84" s="7" t="str">
        <f t="shared" si="5"/>
        <v/>
      </c>
    </row>
    <row r="85" spans="1:17" ht="24" customHeight="1">
      <c r="A85" s="7"/>
      <c r="B85" s="7"/>
      <c r="C85" s="3"/>
      <c r="D85" s="2"/>
      <c r="E85" s="3"/>
      <c r="F85" s="3"/>
      <c r="G85" s="3"/>
      <c r="H85" s="3"/>
      <c r="I85" s="6"/>
      <c r="J85" s="3"/>
      <c r="K85" s="7"/>
      <c r="L85" s="13" t="str">
        <f>IF(C85="","",IF(COUNTIFS(Parametry!$C$54:$C$113,E85)=1,INDEX(Parametry!$D$54:$D$113,MATCH(E85,Parametry!$C$54:$C$113,0)),""))</f>
        <v/>
      </c>
      <c r="M85" s="7">
        <f t="shared" si="3"/>
        <v>0</v>
      </c>
      <c r="N85" s="13">
        <f>IF(AND(ISNUMBER(D85),ISNUMBER(Parametry!$G$6)),IF(AND(YEAR(D85)=Parametry!$G$6,M85&lt;=Parametry!$G$7),1,0),0)</f>
        <v>0</v>
      </c>
      <c r="O85" s="13">
        <f>IF(C85="",IF(COUNTA(D85:J85)&gt;0,1,0),IF(OR(COUNTIFS($C$9:$C$1008,C85)&lt;&gt;1,NOT(ISNUMBER(D85)),NOT(ISNUMBER(I85)),L85="",AND(F85&lt;&gt;"",COUNTIFS(Umowy!$C$9:$C$108,F85,Umowy!$D$9:$D$108,L85)&lt;&gt;1)),1,0))</f>
        <v>0</v>
      </c>
      <c r="P85" s="7" t="str">
        <f t="shared" si="4"/>
        <v/>
      </c>
      <c r="Q85" s="7" t="str">
        <f t="shared" si="5"/>
        <v/>
      </c>
    </row>
    <row r="86" spans="1:17" ht="24" customHeight="1">
      <c r="A86" s="7"/>
      <c r="B86" s="7"/>
      <c r="C86" s="3"/>
      <c r="D86" s="2"/>
      <c r="E86" s="3"/>
      <c r="F86" s="3"/>
      <c r="G86" s="3"/>
      <c r="H86" s="3"/>
      <c r="I86" s="6"/>
      <c r="J86" s="3"/>
      <c r="K86" s="7"/>
      <c r="L86" s="13" t="str">
        <f>IF(C86="","",IF(COUNTIFS(Parametry!$C$54:$C$113,E86)=1,INDEX(Parametry!$D$54:$D$113,MATCH(E86,Parametry!$C$54:$C$113,0)),""))</f>
        <v/>
      </c>
      <c r="M86" s="7">
        <f t="shared" si="3"/>
        <v>0</v>
      </c>
      <c r="N86" s="13">
        <f>IF(AND(ISNUMBER(D86),ISNUMBER(Parametry!$G$6)),IF(AND(YEAR(D86)=Parametry!$G$6,M86&lt;=Parametry!$G$7),1,0),0)</f>
        <v>0</v>
      </c>
      <c r="O86" s="13">
        <f>IF(C86="",IF(COUNTA(D86:J86)&gt;0,1,0),IF(OR(COUNTIFS($C$9:$C$1008,C86)&lt;&gt;1,NOT(ISNUMBER(D86)),NOT(ISNUMBER(I86)),L86="",AND(F86&lt;&gt;"",COUNTIFS(Umowy!$C$9:$C$108,F86,Umowy!$D$9:$D$108,L86)&lt;&gt;1)),1,0))</f>
        <v>0</v>
      </c>
      <c r="P86" s="7" t="str">
        <f t="shared" si="4"/>
        <v/>
      </c>
      <c r="Q86" s="7" t="str">
        <f t="shared" si="5"/>
        <v/>
      </c>
    </row>
    <row r="87" spans="1:17" ht="24" customHeight="1">
      <c r="A87" s="7"/>
      <c r="B87" s="7"/>
      <c r="C87" s="3"/>
      <c r="D87" s="2"/>
      <c r="E87" s="3"/>
      <c r="F87" s="3"/>
      <c r="G87" s="3"/>
      <c r="H87" s="3"/>
      <c r="I87" s="6"/>
      <c r="J87" s="3"/>
      <c r="K87" s="7"/>
      <c r="L87" s="13" t="str">
        <f>IF(C87="","",IF(COUNTIFS(Parametry!$C$54:$C$113,E87)=1,INDEX(Parametry!$D$54:$D$113,MATCH(E87,Parametry!$C$54:$C$113,0)),""))</f>
        <v/>
      </c>
      <c r="M87" s="7">
        <f t="shared" si="3"/>
        <v>0</v>
      </c>
      <c r="N87" s="13">
        <f>IF(AND(ISNUMBER(D87),ISNUMBER(Parametry!$G$6)),IF(AND(YEAR(D87)=Parametry!$G$6,M87&lt;=Parametry!$G$7),1,0),0)</f>
        <v>0</v>
      </c>
      <c r="O87" s="13">
        <f>IF(C87="",IF(COUNTA(D87:J87)&gt;0,1,0),IF(OR(COUNTIFS($C$9:$C$1008,C87)&lt;&gt;1,NOT(ISNUMBER(D87)),NOT(ISNUMBER(I87)),L87="",AND(F87&lt;&gt;"",COUNTIFS(Umowy!$C$9:$C$108,F87,Umowy!$D$9:$D$108,L87)&lt;&gt;1)),1,0))</f>
        <v>0</v>
      </c>
      <c r="P87" s="7" t="str">
        <f t="shared" si="4"/>
        <v/>
      </c>
      <c r="Q87" s="7" t="str">
        <f t="shared" si="5"/>
        <v/>
      </c>
    </row>
    <row r="88" spans="1:17" ht="24" customHeight="1">
      <c r="A88" s="7"/>
      <c r="B88" s="7"/>
      <c r="C88" s="3"/>
      <c r="D88" s="2"/>
      <c r="E88" s="3"/>
      <c r="F88" s="3"/>
      <c r="G88" s="3"/>
      <c r="H88" s="3"/>
      <c r="I88" s="6"/>
      <c r="J88" s="3"/>
      <c r="K88" s="7"/>
      <c r="L88" s="13" t="str">
        <f>IF(C88="","",IF(COUNTIFS(Parametry!$C$54:$C$113,E88)=1,INDEX(Parametry!$D$54:$D$113,MATCH(E88,Parametry!$C$54:$C$113,0)),""))</f>
        <v/>
      </c>
      <c r="M88" s="7">
        <f t="shared" si="3"/>
        <v>0</v>
      </c>
      <c r="N88" s="13">
        <f>IF(AND(ISNUMBER(D88),ISNUMBER(Parametry!$G$6)),IF(AND(YEAR(D88)=Parametry!$G$6,M88&lt;=Parametry!$G$7),1,0),0)</f>
        <v>0</v>
      </c>
      <c r="O88" s="13">
        <f>IF(C88="",IF(COUNTA(D88:J88)&gt;0,1,0),IF(OR(COUNTIFS($C$9:$C$1008,C88)&lt;&gt;1,NOT(ISNUMBER(D88)),NOT(ISNUMBER(I88)),L88="",AND(F88&lt;&gt;"",COUNTIFS(Umowy!$C$9:$C$108,F88,Umowy!$D$9:$D$108,L88)&lt;&gt;1)),1,0))</f>
        <v>0</v>
      </c>
      <c r="P88" s="7" t="str">
        <f t="shared" si="4"/>
        <v/>
      </c>
      <c r="Q88" s="7" t="str">
        <f t="shared" si="5"/>
        <v/>
      </c>
    </row>
    <row r="89" spans="1:17" ht="24" customHeight="1">
      <c r="A89" s="7"/>
      <c r="B89" s="7"/>
      <c r="C89" s="3"/>
      <c r="D89" s="2"/>
      <c r="E89" s="3"/>
      <c r="F89" s="3"/>
      <c r="G89" s="3"/>
      <c r="H89" s="3"/>
      <c r="I89" s="6"/>
      <c r="J89" s="3"/>
      <c r="K89" s="7"/>
      <c r="L89" s="13" t="str">
        <f>IF(C89="","",IF(COUNTIFS(Parametry!$C$54:$C$113,E89)=1,INDEX(Parametry!$D$54:$D$113,MATCH(E89,Parametry!$C$54:$C$113,0)),""))</f>
        <v/>
      </c>
      <c r="M89" s="7">
        <f t="shared" si="3"/>
        <v>0</v>
      </c>
      <c r="N89" s="13">
        <f>IF(AND(ISNUMBER(D89),ISNUMBER(Parametry!$G$6)),IF(AND(YEAR(D89)=Parametry!$G$6,M89&lt;=Parametry!$G$7),1,0),0)</f>
        <v>0</v>
      </c>
      <c r="O89" s="13">
        <f>IF(C89="",IF(COUNTA(D89:J89)&gt;0,1,0),IF(OR(COUNTIFS($C$9:$C$1008,C89)&lt;&gt;1,NOT(ISNUMBER(D89)),NOT(ISNUMBER(I89)),L89="",AND(F89&lt;&gt;"",COUNTIFS(Umowy!$C$9:$C$108,F89,Umowy!$D$9:$D$108,L89)&lt;&gt;1)),1,0))</f>
        <v>0</v>
      </c>
      <c r="P89" s="7" t="str">
        <f t="shared" si="4"/>
        <v/>
      </c>
      <c r="Q89" s="7" t="str">
        <f t="shared" si="5"/>
        <v/>
      </c>
    </row>
    <row r="90" spans="1:17" ht="24" customHeight="1">
      <c r="A90" s="7"/>
      <c r="B90" s="7"/>
      <c r="C90" s="3"/>
      <c r="D90" s="2"/>
      <c r="E90" s="3"/>
      <c r="F90" s="3"/>
      <c r="G90" s="3"/>
      <c r="H90" s="3"/>
      <c r="I90" s="6"/>
      <c r="J90" s="3"/>
      <c r="K90" s="7"/>
      <c r="L90" s="13" t="str">
        <f>IF(C90="","",IF(COUNTIFS(Parametry!$C$54:$C$113,E90)=1,INDEX(Parametry!$D$54:$D$113,MATCH(E90,Parametry!$C$54:$C$113,0)),""))</f>
        <v/>
      </c>
      <c r="M90" s="7">
        <f t="shared" si="3"/>
        <v>0</v>
      </c>
      <c r="N90" s="13">
        <f>IF(AND(ISNUMBER(D90),ISNUMBER(Parametry!$G$6)),IF(AND(YEAR(D90)=Parametry!$G$6,M90&lt;=Parametry!$G$7),1,0),0)</f>
        <v>0</v>
      </c>
      <c r="O90" s="13">
        <f>IF(C90="",IF(COUNTA(D90:J90)&gt;0,1,0),IF(OR(COUNTIFS($C$9:$C$1008,C90)&lt;&gt;1,NOT(ISNUMBER(D90)),NOT(ISNUMBER(I90)),L90="",AND(F90&lt;&gt;"",COUNTIFS(Umowy!$C$9:$C$108,F90,Umowy!$D$9:$D$108,L90)&lt;&gt;1)),1,0))</f>
        <v>0</v>
      </c>
      <c r="P90" s="7" t="str">
        <f t="shared" si="4"/>
        <v/>
      </c>
      <c r="Q90" s="7" t="str">
        <f t="shared" si="5"/>
        <v/>
      </c>
    </row>
    <row r="91" spans="1:17" ht="24" customHeight="1">
      <c r="A91" s="7"/>
      <c r="B91" s="7"/>
      <c r="C91" s="3"/>
      <c r="D91" s="2"/>
      <c r="E91" s="3"/>
      <c r="F91" s="3"/>
      <c r="G91" s="3"/>
      <c r="H91" s="3"/>
      <c r="I91" s="6"/>
      <c r="J91" s="3"/>
      <c r="K91" s="7"/>
      <c r="L91" s="13" t="str">
        <f>IF(C91="","",IF(COUNTIFS(Parametry!$C$54:$C$113,E91)=1,INDEX(Parametry!$D$54:$D$113,MATCH(E91,Parametry!$C$54:$C$113,0)),""))</f>
        <v/>
      </c>
      <c r="M91" s="7">
        <f t="shared" si="3"/>
        <v>0</v>
      </c>
      <c r="N91" s="13">
        <f>IF(AND(ISNUMBER(D91),ISNUMBER(Parametry!$G$6)),IF(AND(YEAR(D91)=Parametry!$G$6,M91&lt;=Parametry!$G$7),1,0),0)</f>
        <v>0</v>
      </c>
      <c r="O91" s="13">
        <f>IF(C91="",IF(COUNTA(D91:J91)&gt;0,1,0),IF(OR(COUNTIFS($C$9:$C$1008,C91)&lt;&gt;1,NOT(ISNUMBER(D91)),NOT(ISNUMBER(I91)),L91="",AND(F91&lt;&gt;"",COUNTIFS(Umowy!$C$9:$C$108,F91,Umowy!$D$9:$D$108,L91)&lt;&gt;1)),1,0))</f>
        <v>0</v>
      </c>
      <c r="P91" s="7" t="str">
        <f t="shared" si="4"/>
        <v/>
      </c>
      <c r="Q91" s="7" t="str">
        <f t="shared" si="5"/>
        <v/>
      </c>
    </row>
    <row r="92" spans="1:17" ht="24" customHeight="1">
      <c r="A92" s="7"/>
      <c r="B92" s="7"/>
      <c r="C92" s="3"/>
      <c r="D92" s="2"/>
      <c r="E92" s="3"/>
      <c r="F92" s="3"/>
      <c r="G92" s="3"/>
      <c r="H92" s="3"/>
      <c r="I92" s="6"/>
      <c r="J92" s="3"/>
      <c r="K92" s="7"/>
      <c r="L92" s="13" t="str">
        <f>IF(C92="","",IF(COUNTIFS(Parametry!$C$54:$C$113,E92)=1,INDEX(Parametry!$D$54:$D$113,MATCH(E92,Parametry!$C$54:$C$113,0)),""))</f>
        <v/>
      </c>
      <c r="M92" s="7">
        <f t="shared" si="3"/>
        <v>0</v>
      </c>
      <c r="N92" s="13">
        <f>IF(AND(ISNUMBER(D92),ISNUMBER(Parametry!$G$6)),IF(AND(YEAR(D92)=Parametry!$G$6,M92&lt;=Parametry!$G$7),1,0),0)</f>
        <v>0</v>
      </c>
      <c r="O92" s="13">
        <f>IF(C92="",IF(COUNTA(D92:J92)&gt;0,1,0),IF(OR(COUNTIFS($C$9:$C$1008,C92)&lt;&gt;1,NOT(ISNUMBER(D92)),NOT(ISNUMBER(I92)),L92="",AND(F92&lt;&gt;"",COUNTIFS(Umowy!$C$9:$C$108,F92,Umowy!$D$9:$D$108,L92)&lt;&gt;1)),1,0))</f>
        <v>0</v>
      </c>
      <c r="P92" s="7" t="str">
        <f t="shared" si="4"/>
        <v/>
      </c>
      <c r="Q92" s="7" t="str">
        <f t="shared" si="5"/>
        <v/>
      </c>
    </row>
    <row r="93" spans="1:17" ht="24" customHeight="1">
      <c r="A93" s="7"/>
      <c r="B93" s="7"/>
      <c r="C93" s="3"/>
      <c r="D93" s="2"/>
      <c r="E93" s="3"/>
      <c r="F93" s="3"/>
      <c r="G93" s="3"/>
      <c r="H93" s="3"/>
      <c r="I93" s="6"/>
      <c r="J93" s="3"/>
      <c r="K93" s="7"/>
      <c r="L93" s="13" t="str">
        <f>IF(C93="","",IF(COUNTIFS(Parametry!$C$54:$C$113,E93)=1,INDEX(Parametry!$D$54:$D$113,MATCH(E93,Parametry!$C$54:$C$113,0)),""))</f>
        <v/>
      </c>
      <c r="M93" s="7">
        <f t="shared" si="3"/>
        <v>0</v>
      </c>
      <c r="N93" s="13">
        <f>IF(AND(ISNUMBER(D93),ISNUMBER(Parametry!$G$6)),IF(AND(YEAR(D93)=Parametry!$G$6,M93&lt;=Parametry!$G$7),1,0),0)</f>
        <v>0</v>
      </c>
      <c r="O93" s="13">
        <f>IF(C93="",IF(COUNTA(D93:J93)&gt;0,1,0),IF(OR(COUNTIFS($C$9:$C$1008,C93)&lt;&gt;1,NOT(ISNUMBER(D93)),NOT(ISNUMBER(I93)),L93="",AND(F93&lt;&gt;"",COUNTIFS(Umowy!$C$9:$C$108,F93,Umowy!$D$9:$D$108,L93)&lt;&gt;1)),1,0))</f>
        <v>0</v>
      </c>
      <c r="P93" s="7" t="str">
        <f t="shared" si="4"/>
        <v/>
      </c>
      <c r="Q93" s="7" t="str">
        <f t="shared" si="5"/>
        <v/>
      </c>
    </row>
    <row r="94" spans="1:17" ht="24" customHeight="1">
      <c r="A94" s="7"/>
      <c r="B94" s="7"/>
      <c r="C94" s="3"/>
      <c r="D94" s="2"/>
      <c r="E94" s="3"/>
      <c r="F94" s="3"/>
      <c r="G94" s="3"/>
      <c r="H94" s="3"/>
      <c r="I94" s="6"/>
      <c r="J94" s="3"/>
      <c r="K94" s="7"/>
      <c r="L94" s="13" t="str">
        <f>IF(C94="","",IF(COUNTIFS(Parametry!$C$54:$C$113,E94)=1,INDEX(Parametry!$D$54:$D$113,MATCH(E94,Parametry!$C$54:$C$113,0)),""))</f>
        <v/>
      </c>
      <c r="M94" s="7">
        <f t="shared" si="3"/>
        <v>0</v>
      </c>
      <c r="N94" s="13">
        <f>IF(AND(ISNUMBER(D94),ISNUMBER(Parametry!$G$6)),IF(AND(YEAR(D94)=Parametry!$G$6,M94&lt;=Parametry!$G$7),1,0),0)</f>
        <v>0</v>
      </c>
      <c r="O94" s="13">
        <f>IF(C94="",IF(COUNTA(D94:J94)&gt;0,1,0),IF(OR(COUNTIFS($C$9:$C$1008,C94)&lt;&gt;1,NOT(ISNUMBER(D94)),NOT(ISNUMBER(I94)),L94="",AND(F94&lt;&gt;"",COUNTIFS(Umowy!$C$9:$C$108,F94,Umowy!$D$9:$D$108,L94)&lt;&gt;1)),1,0))</f>
        <v>0</v>
      </c>
      <c r="P94" s="7" t="str">
        <f t="shared" si="4"/>
        <v/>
      </c>
      <c r="Q94" s="7" t="str">
        <f t="shared" si="5"/>
        <v/>
      </c>
    </row>
    <row r="95" spans="1:17" ht="24" customHeight="1">
      <c r="A95" s="7"/>
      <c r="B95" s="7"/>
      <c r="C95" s="3"/>
      <c r="D95" s="2"/>
      <c r="E95" s="3"/>
      <c r="F95" s="3"/>
      <c r="G95" s="3"/>
      <c r="H95" s="3"/>
      <c r="I95" s="6"/>
      <c r="J95" s="3"/>
      <c r="K95" s="7"/>
      <c r="L95" s="13" t="str">
        <f>IF(C95="","",IF(COUNTIFS(Parametry!$C$54:$C$113,E95)=1,INDEX(Parametry!$D$54:$D$113,MATCH(E95,Parametry!$C$54:$C$113,0)),""))</f>
        <v/>
      </c>
      <c r="M95" s="7">
        <f t="shared" si="3"/>
        <v>0</v>
      </c>
      <c r="N95" s="13">
        <f>IF(AND(ISNUMBER(D95),ISNUMBER(Parametry!$G$6)),IF(AND(YEAR(D95)=Parametry!$G$6,M95&lt;=Parametry!$G$7),1,0),0)</f>
        <v>0</v>
      </c>
      <c r="O95" s="13">
        <f>IF(C95="",IF(COUNTA(D95:J95)&gt;0,1,0),IF(OR(COUNTIFS($C$9:$C$1008,C95)&lt;&gt;1,NOT(ISNUMBER(D95)),NOT(ISNUMBER(I95)),L95="",AND(F95&lt;&gt;"",COUNTIFS(Umowy!$C$9:$C$108,F95,Umowy!$D$9:$D$108,L95)&lt;&gt;1)),1,0))</f>
        <v>0</v>
      </c>
      <c r="P95" s="7" t="str">
        <f t="shared" si="4"/>
        <v/>
      </c>
      <c r="Q95" s="7" t="str">
        <f t="shared" si="5"/>
        <v/>
      </c>
    </row>
    <row r="96" spans="1:17" ht="24" customHeight="1">
      <c r="A96" s="7"/>
      <c r="B96" s="7"/>
      <c r="C96" s="3"/>
      <c r="D96" s="2"/>
      <c r="E96" s="3"/>
      <c r="F96" s="3"/>
      <c r="G96" s="3"/>
      <c r="H96" s="3"/>
      <c r="I96" s="6"/>
      <c r="J96" s="3"/>
      <c r="K96" s="7"/>
      <c r="L96" s="13" t="str">
        <f>IF(C96="","",IF(COUNTIFS(Parametry!$C$54:$C$113,E96)=1,INDEX(Parametry!$D$54:$D$113,MATCH(E96,Parametry!$C$54:$C$113,0)),""))</f>
        <v/>
      </c>
      <c r="M96" s="7">
        <f t="shared" si="3"/>
        <v>0</v>
      </c>
      <c r="N96" s="13">
        <f>IF(AND(ISNUMBER(D96),ISNUMBER(Parametry!$G$6)),IF(AND(YEAR(D96)=Parametry!$G$6,M96&lt;=Parametry!$G$7),1,0),0)</f>
        <v>0</v>
      </c>
      <c r="O96" s="13">
        <f>IF(C96="",IF(COUNTA(D96:J96)&gt;0,1,0),IF(OR(COUNTIFS($C$9:$C$1008,C96)&lt;&gt;1,NOT(ISNUMBER(D96)),NOT(ISNUMBER(I96)),L96="",AND(F96&lt;&gt;"",COUNTIFS(Umowy!$C$9:$C$108,F96,Umowy!$D$9:$D$108,L96)&lt;&gt;1)),1,0))</f>
        <v>0</v>
      </c>
      <c r="P96" s="7" t="str">
        <f t="shared" si="4"/>
        <v/>
      </c>
      <c r="Q96" s="7" t="str">
        <f t="shared" si="5"/>
        <v/>
      </c>
    </row>
    <row r="97" spans="1:17" ht="24" customHeight="1">
      <c r="A97" s="7"/>
      <c r="B97" s="7"/>
      <c r="C97" s="3"/>
      <c r="D97" s="2"/>
      <c r="E97" s="3"/>
      <c r="F97" s="3"/>
      <c r="G97" s="3"/>
      <c r="H97" s="3"/>
      <c r="I97" s="6"/>
      <c r="J97" s="3"/>
      <c r="K97" s="7"/>
      <c r="L97" s="13" t="str">
        <f>IF(C97="","",IF(COUNTIFS(Parametry!$C$54:$C$113,E97)=1,INDEX(Parametry!$D$54:$D$113,MATCH(E97,Parametry!$C$54:$C$113,0)),""))</f>
        <v/>
      </c>
      <c r="M97" s="7">
        <f t="shared" si="3"/>
        <v>0</v>
      </c>
      <c r="N97" s="13">
        <f>IF(AND(ISNUMBER(D97),ISNUMBER(Parametry!$G$6)),IF(AND(YEAR(D97)=Parametry!$G$6,M97&lt;=Parametry!$G$7),1,0),0)</f>
        <v>0</v>
      </c>
      <c r="O97" s="13">
        <f>IF(C97="",IF(COUNTA(D97:J97)&gt;0,1,0),IF(OR(COUNTIFS($C$9:$C$1008,C97)&lt;&gt;1,NOT(ISNUMBER(D97)),NOT(ISNUMBER(I97)),L97="",AND(F97&lt;&gt;"",COUNTIFS(Umowy!$C$9:$C$108,F97,Umowy!$D$9:$D$108,L97)&lt;&gt;1)),1,0))</f>
        <v>0</v>
      </c>
      <c r="P97" s="7" t="str">
        <f t="shared" si="4"/>
        <v/>
      </c>
      <c r="Q97" s="7" t="str">
        <f t="shared" si="5"/>
        <v/>
      </c>
    </row>
    <row r="98" spans="1:17" ht="24" customHeight="1">
      <c r="A98" s="7"/>
      <c r="B98" s="7"/>
      <c r="C98" s="3"/>
      <c r="D98" s="2"/>
      <c r="E98" s="3"/>
      <c r="F98" s="3"/>
      <c r="G98" s="3"/>
      <c r="H98" s="3"/>
      <c r="I98" s="6"/>
      <c r="J98" s="3"/>
      <c r="K98" s="7"/>
      <c r="L98" s="13" t="str">
        <f>IF(C98="","",IF(COUNTIFS(Parametry!$C$54:$C$113,E98)=1,INDEX(Parametry!$D$54:$D$113,MATCH(E98,Parametry!$C$54:$C$113,0)),""))</f>
        <v/>
      </c>
      <c r="M98" s="7">
        <f t="shared" si="3"/>
        <v>0</v>
      </c>
      <c r="N98" s="13">
        <f>IF(AND(ISNUMBER(D98),ISNUMBER(Parametry!$G$6)),IF(AND(YEAR(D98)=Parametry!$G$6,M98&lt;=Parametry!$G$7),1,0),0)</f>
        <v>0</v>
      </c>
      <c r="O98" s="13">
        <f>IF(C98="",IF(COUNTA(D98:J98)&gt;0,1,0),IF(OR(COUNTIFS($C$9:$C$1008,C98)&lt;&gt;1,NOT(ISNUMBER(D98)),NOT(ISNUMBER(I98)),L98="",AND(F98&lt;&gt;"",COUNTIFS(Umowy!$C$9:$C$108,F98,Umowy!$D$9:$D$108,L98)&lt;&gt;1)),1,0))</f>
        <v>0</v>
      </c>
      <c r="P98" s="7" t="str">
        <f t="shared" si="4"/>
        <v/>
      </c>
      <c r="Q98" s="7" t="str">
        <f t="shared" si="5"/>
        <v/>
      </c>
    </row>
    <row r="99" spans="1:17" ht="24" customHeight="1">
      <c r="A99" s="7"/>
      <c r="B99" s="7"/>
      <c r="C99" s="3"/>
      <c r="D99" s="2"/>
      <c r="E99" s="3"/>
      <c r="F99" s="3"/>
      <c r="G99" s="3"/>
      <c r="H99" s="3"/>
      <c r="I99" s="6"/>
      <c r="J99" s="3"/>
      <c r="K99" s="7"/>
      <c r="L99" s="13" t="str">
        <f>IF(C99="","",IF(COUNTIFS(Parametry!$C$54:$C$113,E99)=1,INDEX(Parametry!$D$54:$D$113,MATCH(E99,Parametry!$C$54:$C$113,0)),""))</f>
        <v/>
      </c>
      <c r="M99" s="7">
        <f t="shared" si="3"/>
        <v>0</v>
      </c>
      <c r="N99" s="13">
        <f>IF(AND(ISNUMBER(D99),ISNUMBER(Parametry!$G$6)),IF(AND(YEAR(D99)=Parametry!$G$6,M99&lt;=Parametry!$G$7),1,0),0)</f>
        <v>0</v>
      </c>
      <c r="O99" s="13">
        <f>IF(C99="",IF(COUNTA(D99:J99)&gt;0,1,0),IF(OR(COUNTIFS($C$9:$C$1008,C99)&lt;&gt;1,NOT(ISNUMBER(D99)),NOT(ISNUMBER(I99)),L99="",AND(F99&lt;&gt;"",COUNTIFS(Umowy!$C$9:$C$108,F99,Umowy!$D$9:$D$108,L99)&lt;&gt;1)),1,0))</f>
        <v>0</v>
      </c>
      <c r="P99" s="7" t="str">
        <f t="shared" si="4"/>
        <v/>
      </c>
      <c r="Q99" s="7" t="str">
        <f t="shared" si="5"/>
        <v/>
      </c>
    </row>
    <row r="100" spans="1:17" ht="24" customHeight="1">
      <c r="A100" s="7"/>
      <c r="B100" s="7"/>
      <c r="C100" s="3"/>
      <c r="D100" s="2"/>
      <c r="E100" s="3"/>
      <c r="F100" s="3"/>
      <c r="G100" s="3"/>
      <c r="H100" s="3"/>
      <c r="I100" s="6"/>
      <c r="J100" s="3"/>
      <c r="K100" s="7"/>
      <c r="L100" s="13" t="str">
        <f>IF(C100="","",IF(COUNTIFS(Parametry!$C$54:$C$113,E100)=1,INDEX(Parametry!$D$54:$D$113,MATCH(E100,Parametry!$C$54:$C$113,0)),""))</f>
        <v/>
      </c>
      <c r="M100" s="7">
        <f t="shared" si="3"/>
        <v>0</v>
      </c>
      <c r="N100" s="13">
        <f>IF(AND(ISNUMBER(D100),ISNUMBER(Parametry!$G$6)),IF(AND(YEAR(D100)=Parametry!$G$6,M100&lt;=Parametry!$G$7),1,0),0)</f>
        <v>0</v>
      </c>
      <c r="O100" s="13">
        <f>IF(C100="",IF(COUNTA(D100:J100)&gt;0,1,0),IF(OR(COUNTIFS($C$9:$C$1008,C100)&lt;&gt;1,NOT(ISNUMBER(D100)),NOT(ISNUMBER(I100)),L100="",AND(F100&lt;&gt;"",COUNTIFS(Umowy!$C$9:$C$108,F100,Umowy!$D$9:$D$108,L100)&lt;&gt;1)),1,0))</f>
        <v>0</v>
      </c>
      <c r="P100" s="7" t="str">
        <f t="shared" si="4"/>
        <v/>
      </c>
      <c r="Q100" s="7" t="str">
        <f t="shared" si="5"/>
        <v/>
      </c>
    </row>
    <row r="101" spans="1:17" ht="24" customHeight="1">
      <c r="A101" s="7"/>
      <c r="B101" s="7"/>
      <c r="C101" s="3"/>
      <c r="D101" s="2"/>
      <c r="E101" s="3"/>
      <c r="F101" s="3"/>
      <c r="G101" s="3"/>
      <c r="H101" s="3"/>
      <c r="I101" s="6"/>
      <c r="J101" s="3"/>
      <c r="K101" s="7"/>
      <c r="L101" s="13" t="str">
        <f>IF(C101="","",IF(COUNTIFS(Parametry!$C$54:$C$113,E101)=1,INDEX(Parametry!$D$54:$D$113,MATCH(E101,Parametry!$C$54:$C$113,0)),""))</f>
        <v/>
      </c>
      <c r="M101" s="7">
        <f t="shared" si="3"/>
        <v>0</v>
      </c>
      <c r="N101" s="13">
        <f>IF(AND(ISNUMBER(D101),ISNUMBER(Parametry!$G$6)),IF(AND(YEAR(D101)=Parametry!$G$6,M101&lt;=Parametry!$G$7),1,0),0)</f>
        <v>0</v>
      </c>
      <c r="O101" s="13">
        <f>IF(C101="",IF(COUNTA(D101:J101)&gt;0,1,0),IF(OR(COUNTIFS($C$9:$C$1008,C101)&lt;&gt;1,NOT(ISNUMBER(D101)),NOT(ISNUMBER(I101)),L101="",AND(F101&lt;&gt;"",COUNTIFS(Umowy!$C$9:$C$108,F101,Umowy!$D$9:$D$108,L101)&lt;&gt;1)),1,0))</f>
        <v>0</v>
      </c>
      <c r="P101" s="7" t="str">
        <f t="shared" si="4"/>
        <v/>
      </c>
      <c r="Q101" s="7" t="str">
        <f t="shared" si="5"/>
        <v/>
      </c>
    </row>
    <row r="102" spans="1:17" ht="24" customHeight="1">
      <c r="A102" s="7"/>
      <c r="B102" s="7"/>
      <c r="C102" s="3"/>
      <c r="D102" s="2"/>
      <c r="E102" s="3"/>
      <c r="F102" s="3"/>
      <c r="G102" s="3"/>
      <c r="H102" s="3"/>
      <c r="I102" s="6"/>
      <c r="J102" s="3"/>
      <c r="K102" s="7"/>
      <c r="L102" s="13" t="str">
        <f>IF(C102="","",IF(COUNTIFS(Parametry!$C$54:$C$113,E102)=1,INDEX(Parametry!$D$54:$D$113,MATCH(E102,Parametry!$C$54:$C$113,0)),""))</f>
        <v/>
      </c>
      <c r="M102" s="7">
        <f t="shared" si="3"/>
        <v>0</v>
      </c>
      <c r="N102" s="13">
        <f>IF(AND(ISNUMBER(D102),ISNUMBER(Parametry!$G$6)),IF(AND(YEAR(D102)=Parametry!$G$6,M102&lt;=Parametry!$G$7),1,0),0)</f>
        <v>0</v>
      </c>
      <c r="O102" s="13">
        <f>IF(C102="",IF(COUNTA(D102:J102)&gt;0,1,0),IF(OR(COUNTIFS($C$9:$C$1008,C102)&lt;&gt;1,NOT(ISNUMBER(D102)),NOT(ISNUMBER(I102)),L102="",AND(F102&lt;&gt;"",COUNTIFS(Umowy!$C$9:$C$108,F102,Umowy!$D$9:$D$108,L102)&lt;&gt;1)),1,0))</f>
        <v>0</v>
      </c>
      <c r="P102" s="7" t="str">
        <f t="shared" si="4"/>
        <v/>
      </c>
      <c r="Q102" s="7" t="str">
        <f t="shared" si="5"/>
        <v/>
      </c>
    </row>
    <row r="103" spans="1:17" ht="24" customHeight="1">
      <c r="A103" s="7"/>
      <c r="B103" s="7"/>
      <c r="C103" s="3"/>
      <c r="D103" s="2"/>
      <c r="E103" s="3"/>
      <c r="F103" s="3"/>
      <c r="G103" s="3"/>
      <c r="H103" s="3"/>
      <c r="I103" s="6"/>
      <c r="J103" s="3"/>
      <c r="K103" s="7"/>
      <c r="L103" s="13" t="str">
        <f>IF(C103="","",IF(COUNTIFS(Parametry!$C$54:$C$113,E103)=1,INDEX(Parametry!$D$54:$D$113,MATCH(E103,Parametry!$C$54:$C$113,0)),""))</f>
        <v/>
      </c>
      <c r="M103" s="7">
        <f t="shared" si="3"/>
        <v>0</v>
      </c>
      <c r="N103" s="13">
        <f>IF(AND(ISNUMBER(D103),ISNUMBER(Parametry!$G$6)),IF(AND(YEAR(D103)=Parametry!$G$6,M103&lt;=Parametry!$G$7),1,0),0)</f>
        <v>0</v>
      </c>
      <c r="O103" s="13">
        <f>IF(C103="",IF(COUNTA(D103:J103)&gt;0,1,0),IF(OR(COUNTIFS($C$9:$C$1008,C103)&lt;&gt;1,NOT(ISNUMBER(D103)),NOT(ISNUMBER(I103)),L103="",AND(F103&lt;&gt;"",COUNTIFS(Umowy!$C$9:$C$108,F103,Umowy!$D$9:$D$108,L103)&lt;&gt;1)),1,0))</f>
        <v>0</v>
      </c>
      <c r="P103" s="7" t="str">
        <f t="shared" si="4"/>
        <v/>
      </c>
      <c r="Q103" s="7" t="str">
        <f t="shared" si="5"/>
        <v/>
      </c>
    </row>
    <row r="104" spans="1:17" ht="24" customHeight="1">
      <c r="A104" s="7"/>
      <c r="B104" s="7"/>
      <c r="C104" s="3"/>
      <c r="D104" s="2"/>
      <c r="E104" s="3"/>
      <c r="F104" s="3"/>
      <c r="G104" s="3"/>
      <c r="H104" s="3"/>
      <c r="I104" s="6"/>
      <c r="J104" s="3"/>
      <c r="K104" s="7"/>
      <c r="L104" s="13" t="str">
        <f>IF(C104="","",IF(COUNTIFS(Parametry!$C$54:$C$113,E104)=1,INDEX(Parametry!$D$54:$D$113,MATCH(E104,Parametry!$C$54:$C$113,0)),""))</f>
        <v/>
      </c>
      <c r="M104" s="7">
        <f t="shared" si="3"/>
        <v>0</v>
      </c>
      <c r="N104" s="13">
        <f>IF(AND(ISNUMBER(D104),ISNUMBER(Parametry!$G$6)),IF(AND(YEAR(D104)=Parametry!$G$6,M104&lt;=Parametry!$G$7),1,0),0)</f>
        <v>0</v>
      </c>
      <c r="O104" s="13">
        <f>IF(C104="",IF(COUNTA(D104:J104)&gt;0,1,0),IF(OR(COUNTIFS($C$9:$C$1008,C104)&lt;&gt;1,NOT(ISNUMBER(D104)),NOT(ISNUMBER(I104)),L104="",AND(F104&lt;&gt;"",COUNTIFS(Umowy!$C$9:$C$108,F104,Umowy!$D$9:$D$108,L104)&lt;&gt;1)),1,0))</f>
        <v>0</v>
      </c>
      <c r="P104" s="7" t="str">
        <f t="shared" si="4"/>
        <v/>
      </c>
      <c r="Q104" s="7" t="str">
        <f t="shared" si="5"/>
        <v/>
      </c>
    </row>
    <row r="105" spans="1:17" ht="24" customHeight="1">
      <c r="A105" s="7"/>
      <c r="B105" s="7"/>
      <c r="C105" s="3"/>
      <c r="D105" s="2"/>
      <c r="E105" s="3"/>
      <c r="F105" s="3"/>
      <c r="G105" s="3"/>
      <c r="H105" s="3"/>
      <c r="I105" s="6"/>
      <c r="J105" s="3"/>
      <c r="K105" s="7"/>
      <c r="L105" s="13" t="str">
        <f>IF(C105="","",IF(COUNTIFS(Parametry!$C$54:$C$113,E105)=1,INDEX(Parametry!$D$54:$D$113,MATCH(E105,Parametry!$C$54:$C$113,0)),""))</f>
        <v/>
      </c>
      <c r="M105" s="7">
        <f t="shared" si="3"/>
        <v>0</v>
      </c>
      <c r="N105" s="13">
        <f>IF(AND(ISNUMBER(D105),ISNUMBER(Parametry!$G$6)),IF(AND(YEAR(D105)=Parametry!$G$6,M105&lt;=Parametry!$G$7),1,0),0)</f>
        <v>0</v>
      </c>
      <c r="O105" s="13">
        <f>IF(C105="",IF(COUNTA(D105:J105)&gt;0,1,0),IF(OR(COUNTIFS($C$9:$C$1008,C105)&lt;&gt;1,NOT(ISNUMBER(D105)),NOT(ISNUMBER(I105)),L105="",AND(F105&lt;&gt;"",COUNTIFS(Umowy!$C$9:$C$108,F105,Umowy!$D$9:$D$108,L105)&lt;&gt;1)),1,0))</f>
        <v>0</v>
      </c>
      <c r="P105" s="7" t="str">
        <f t="shared" si="4"/>
        <v/>
      </c>
      <c r="Q105" s="7" t="str">
        <f t="shared" si="5"/>
        <v/>
      </c>
    </row>
    <row r="106" spans="1:17" ht="24" customHeight="1">
      <c r="A106" s="7"/>
      <c r="B106" s="7"/>
      <c r="C106" s="3"/>
      <c r="D106" s="2"/>
      <c r="E106" s="3"/>
      <c r="F106" s="3"/>
      <c r="G106" s="3"/>
      <c r="H106" s="3"/>
      <c r="I106" s="6"/>
      <c r="J106" s="3"/>
      <c r="K106" s="7"/>
      <c r="L106" s="13" t="str">
        <f>IF(C106="","",IF(COUNTIFS(Parametry!$C$54:$C$113,E106)=1,INDEX(Parametry!$D$54:$D$113,MATCH(E106,Parametry!$C$54:$C$113,0)),""))</f>
        <v/>
      </c>
      <c r="M106" s="7">
        <f t="shared" si="3"/>
        <v>0</v>
      </c>
      <c r="N106" s="13">
        <f>IF(AND(ISNUMBER(D106),ISNUMBER(Parametry!$G$6)),IF(AND(YEAR(D106)=Parametry!$G$6,M106&lt;=Parametry!$G$7),1,0),0)</f>
        <v>0</v>
      </c>
      <c r="O106" s="13">
        <f>IF(C106="",IF(COUNTA(D106:J106)&gt;0,1,0),IF(OR(COUNTIFS($C$9:$C$1008,C106)&lt;&gt;1,NOT(ISNUMBER(D106)),NOT(ISNUMBER(I106)),L106="",AND(F106&lt;&gt;"",COUNTIFS(Umowy!$C$9:$C$108,F106,Umowy!$D$9:$D$108,L106)&lt;&gt;1)),1,0))</f>
        <v>0</v>
      </c>
      <c r="P106" s="7" t="str">
        <f t="shared" si="4"/>
        <v/>
      </c>
      <c r="Q106" s="7" t="str">
        <f t="shared" si="5"/>
        <v/>
      </c>
    </row>
    <row r="107" spans="1:17" ht="24" customHeight="1">
      <c r="A107" s="7"/>
      <c r="B107" s="7"/>
      <c r="C107" s="3"/>
      <c r="D107" s="2"/>
      <c r="E107" s="3"/>
      <c r="F107" s="3"/>
      <c r="G107" s="3"/>
      <c r="H107" s="3"/>
      <c r="I107" s="6"/>
      <c r="J107" s="3"/>
      <c r="K107" s="7"/>
      <c r="L107" s="13" t="str">
        <f>IF(C107="","",IF(COUNTIFS(Parametry!$C$54:$C$113,E107)=1,INDEX(Parametry!$D$54:$D$113,MATCH(E107,Parametry!$C$54:$C$113,0)),""))</f>
        <v/>
      </c>
      <c r="M107" s="7">
        <f t="shared" si="3"/>
        <v>0</v>
      </c>
      <c r="N107" s="13">
        <f>IF(AND(ISNUMBER(D107),ISNUMBER(Parametry!$G$6)),IF(AND(YEAR(D107)=Parametry!$G$6,M107&lt;=Parametry!$G$7),1,0),0)</f>
        <v>0</v>
      </c>
      <c r="O107" s="13">
        <f>IF(C107="",IF(COUNTA(D107:J107)&gt;0,1,0),IF(OR(COUNTIFS($C$9:$C$1008,C107)&lt;&gt;1,NOT(ISNUMBER(D107)),NOT(ISNUMBER(I107)),L107="",AND(F107&lt;&gt;"",COUNTIFS(Umowy!$C$9:$C$108,F107,Umowy!$D$9:$D$108,L107)&lt;&gt;1)),1,0))</f>
        <v>0</v>
      </c>
      <c r="P107" s="7" t="str">
        <f t="shared" si="4"/>
        <v/>
      </c>
      <c r="Q107" s="7" t="str">
        <f t="shared" si="5"/>
        <v/>
      </c>
    </row>
    <row r="108" spans="1:17" ht="24" customHeight="1">
      <c r="A108" s="7"/>
      <c r="B108" s="7"/>
      <c r="C108" s="3"/>
      <c r="D108" s="2"/>
      <c r="E108" s="3"/>
      <c r="F108" s="3"/>
      <c r="G108" s="3"/>
      <c r="H108" s="3"/>
      <c r="I108" s="6"/>
      <c r="J108" s="3"/>
      <c r="K108" s="7"/>
      <c r="L108" s="13" t="str">
        <f>IF(C108="","",IF(COUNTIFS(Parametry!$C$54:$C$113,E108)=1,INDEX(Parametry!$D$54:$D$113,MATCH(E108,Parametry!$C$54:$C$113,0)),""))</f>
        <v/>
      </c>
      <c r="M108" s="7">
        <f t="shared" si="3"/>
        <v>0</v>
      </c>
      <c r="N108" s="13">
        <f>IF(AND(ISNUMBER(D108),ISNUMBER(Parametry!$G$6)),IF(AND(YEAR(D108)=Parametry!$G$6,M108&lt;=Parametry!$G$7),1,0),0)</f>
        <v>0</v>
      </c>
      <c r="O108" s="13">
        <f>IF(C108="",IF(COUNTA(D108:J108)&gt;0,1,0),IF(OR(COUNTIFS($C$9:$C$1008,C108)&lt;&gt;1,NOT(ISNUMBER(D108)),NOT(ISNUMBER(I108)),L108="",AND(F108&lt;&gt;"",COUNTIFS(Umowy!$C$9:$C$108,F108,Umowy!$D$9:$D$108,L108)&lt;&gt;1)),1,0))</f>
        <v>0</v>
      </c>
      <c r="P108" s="7" t="str">
        <f t="shared" si="4"/>
        <v/>
      </c>
      <c r="Q108" s="7" t="str">
        <f t="shared" si="5"/>
        <v/>
      </c>
    </row>
    <row r="109" spans="1:17" ht="24" customHeight="1">
      <c r="A109" s="7"/>
      <c r="B109" s="7"/>
      <c r="C109" s="3"/>
      <c r="D109" s="2"/>
      <c r="E109" s="3"/>
      <c r="F109" s="3"/>
      <c r="G109" s="3"/>
      <c r="H109" s="3"/>
      <c r="I109" s="6"/>
      <c r="J109" s="3"/>
      <c r="K109" s="7"/>
      <c r="L109" s="13" t="str">
        <f>IF(C109="","",IF(COUNTIFS(Parametry!$C$54:$C$113,E109)=1,INDEX(Parametry!$D$54:$D$113,MATCH(E109,Parametry!$C$54:$C$113,0)),""))</f>
        <v/>
      </c>
      <c r="M109" s="7">
        <f t="shared" si="3"/>
        <v>0</v>
      </c>
      <c r="N109" s="13">
        <f>IF(AND(ISNUMBER(D109),ISNUMBER(Parametry!$G$6)),IF(AND(YEAR(D109)=Parametry!$G$6,M109&lt;=Parametry!$G$7),1,0),0)</f>
        <v>0</v>
      </c>
      <c r="O109" s="13">
        <f>IF(C109="",IF(COUNTA(D109:J109)&gt;0,1,0),IF(OR(COUNTIFS($C$9:$C$1008,C109)&lt;&gt;1,NOT(ISNUMBER(D109)),NOT(ISNUMBER(I109)),L109="",AND(F109&lt;&gt;"",COUNTIFS(Umowy!$C$9:$C$108,F109,Umowy!$D$9:$D$108,L109)&lt;&gt;1)),1,0))</f>
        <v>0</v>
      </c>
      <c r="P109" s="7" t="str">
        <f t="shared" si="4"/>
        <v/>
      </c>
      <c r="Q109" s="7" t="str">
        <f t="shared" si="5"/>
        <v/>
      </c>
    </row>
    <row r="110" spans="1:17" ht="24" customHeight="1">
      <c r="A110" s="7"/>
      <c r="B110" s="7"/>
      <c r="C110" s="3"/>
      <c r="D110" s="2"/>
      <c r="E110" s="3"/>
      <c r="F110" s="3"/>
      <c r="G110" s="3"/>
      <c r="H110" s="3"/>
      <c r="I110" s="6"/>
      <c r="J110" s="3"/>
      <c r="K110" s="7"/>
      <c r="L110" s="13" t="str">
        <f>IF(C110="","",IF(COUNTIFS(Parametry!$C$54:$C$113,E110)=1,INDEX(Parametry!$D$54:$D$113,MATCH(E110,Parametry!$C$54:$C$113,0)),""))</f>
        <v/>
      </c>
      <c r="M110" s="7">
        <f t="shared" si="3"/>
        <v>0</v>
      </c>
      <c r="N110" s="13">
        <f>IF(AND(ISNUMBER(D110),ISNUMBER(Parametry!$G$6)),IF(AND(YEAR(D110)=Parametry!$G$6,M110&lt;=Parametry!$G$7),1,0),0)</f>
        <v>0</v>
      </c>
      <c r="O110" s="13">
        <f>IF(C110="",IF(COUNTA(D110:J110)&gt;0,1,0),IF(OR(COUNTIFS($C$9:$C$1008,C110)&lt;&gt;1,NOT(ISNUMBER(D110)),NOT(ISNUMBER(I110)),L110="",AND(F110&lt;&gt;"",COUNTIFS(Umowy!$C$9:$C$108,F110,Umowy!$D$9:$D$108,L110)&lt;&gt;1)),1,0))</f>
        <v>0</v>
      </c>
      <c r="P110" s="7" t="str">
        <f t="shared" si="4"/>
        <v/>
      </c>
      <c r="Q110" s="7" t="str">
        <f t="shared" si="5"/>
        <v/>
      </c>
    </row>
    <row r="111" spans="1:17" ht="24" customHeight="1">
      <c r="A111" s="7"/>
      <c r="B111" s="7"/>
      <c r="C111" s="3"/>
      <c r="D111" s="2"/>
      <c r="E111" s="3"/>
      <c r="F111" s="3"/>
      <c r="G111" s="3"/>
      <c r="H111" s="3"/>
      <c r="I111" s="6"/>
      <c r="J111" s="3"/>
      <c r="K111" s="7"/>
      <c r="L111" s="13" t="str">
        <f>IF(C111="","",IF(COUNTIFS(Parametry!$C$54:$C$113,E111)=1,INDEX(Parametry!$D$54:$D$113,MATCH(E111,Parametry!$C$54:$C$113,0)),""))</f>
        <v/>
      </c>
      <c r="M111" s="7">
        <f t="shared" si="3"/>
        <v>0</v>
      </c>
      <c r="N111" s="13">
        <f>IF(AND(ISNUMBER(D111),ISNUMBER(Parametry!$G$6)),IF(AND(YEAR(D111)=Parametry!$G$6,M111&lt;=Parametry!$G$7),1,0),0)</f>
        <v>0</v>
      </c>
      <c r="O111" s="13">
        <f>IF(C111="",IF(COUNTA(D111:J111)&gt;0,1,0),IF(OR(COUNTIFS($C$9:$C$1008,C111)&lt;&gt;1,NOT(ISNUMBER(D111)),NOT(ISNUMBER(I111)),L111="",AND(F111&lt;&gt;"",COUNTIFS(Umowy!$C$9:$C$108,F111,Umowy!$D$9:$D$108,L111)&lt;&gt;1)),1,0))</f>
        <v>0</v>
      </c>
      <c r="P111" s="7" t="str">
        <f t="shared" si="4"/>
        <v/>
      </c>
      <c r="Q111" s="7" t="str">
        <f t="shared" si="5"/>
        <v/>
      </c>
    </row>
    <row r="112" spans="1:17" ht="24" customHeight="1">
      <c r="A112" s="7"/>
      <c r="B112" s="7"/>
      <c r="C112" s="3"/>
      <c r="D112" s="2"/>
      <c r="E112" s="3"/>
      <c r="F112" s="3"/>
      <c r="G112" s="3"/>
      <c r="H112" s="3"/>
      <c r="I112" s="6"/>
      <c r="J112" s="3"/>
      <c r="K112" s="7"/>
      <c r="L112" s="13" t="str">
        <f>IF(C112="","",IF(COUNTIFS(Parametry!$C$54:$C$113,E112)=1,INDEX(Parametry!$D$54:$D$113,MATCH(E112,Parametry!$C$54:$C$113,0)),""))</f>
        <v/>
      </c>
      <c r="M112" s="7">
        <f t="shared" si="3"/>
        <v>0</v>
      </c>
      <c r="N112" s="13">
        <f>IF(AND(ISNUMBER(D112),ISNUMBER(Parametry!$G$6)),IF(AND(YEAR(D112)=Parametry!$G$6,M112&lt;=Parametry!$G$7),1,0),0)</f>
        <v>0</v>
      </c>
      <c r="O112" s="13">
        <f>IF(C112="",IF(COUNTA(D112:J112)&gt;0,1,0),IF(OR(COUNTIFS($C$9:$C$1008,C112)&lt;&gt;1,NOT(ISNUMBER(D112)),NOT(ISNUMBER(I112)),L112="",AND(F112&lt;&gt;"",COUNTIFS(Umowy!$C$9:$C$108,F112,Umowy!$D$9:$D$108,L112)&lt;&gt;1)),1,0))</f>
        <v>0</v>
      </c>
      <c r="P112" s="7" t="str">
        <f t="shared" si="4"/>
        <v/>
      </c>
      <c r="Q112" s="7" t="str">
        <f t="shared" si="5"/>
        <v/>
      </c>
    </row>
    <row r="113" spans="1:17" ht="24" customHeight="1">
      <c r="A113" s="7"/>
      <c r="B113" s="7"/>
      <c r="C113" s="3"/>
      <c r="D113" s="2"/>
      <c r="E113" s="3"/>
      <c r="F113" s="3"/>
      <c r="G113" s="3"/>
      <c r="H113" s="3"/>
      <c r="I113" s="6"/>
      <c r="J113" s="3"/>
      <c r="K113" s="7"/>
      <c r="L113" s="13" t="str">
        <f>IF(C113="","",IF(COUNTIFS(Parametry!$C$54:$C$113,E113)=1,INDEX(Parametry!$D$54:$D$113,MATCH(E113,Parametry!$C$54:$C$113,0)),""))</f>
        <v/>
      </c>
      <c r="M113" s="7">
        <f t="shared" si="3"/>
        <v>0</v>
      </c>
      <c r="N113" s="13">
        <f>IF(AND(ISNUMBER(D113),ISNUMBER(Parametry!$G$6)),IF(AND(YEAR(D113)=Parametry!$G$6,M113&lt;=Parametry!$G$7),1,0),0)</f>
        <v>0</v>
      </c>
      <c r="O113" s="13">
        <f>IF(C113="",IF(COUNTA(D113:J113)&gt;0,1,0),IF(OR(COUNTIFS($C$9:$C$1008,C113)&lt;&gt;1,NOT(ISNUMBER(D113)),NOT(ISNUMBER(I113)),L113="",AND(F113&lt;&gt;"",COUNTIFS(Umowy!$C$9:$C$108,F113,Umowy!$D$9:$D$108,L113)&lt;&gt;1)),1,0))</f>
        <v>0</v>
      </c>
      <c r="P113" s="7" t="str">
        <f t="shared" si="4"/>
        <v/>
      </c>
      <c r="Q113" s="7" t="str">
        <f t="shared" si="5"/>
        <v/>
      </c>
    </row>
    <row r="114" spans="1:17" ht="24" customHeight="1">
      <c r="A114" s="7"/>
      <c r="B114" s="7"/>
      <c r="C114" s="3"/>
      <c r="D114" s="2"/>
      <c r="E114" s="3"/>
      <c r="F114" s="3"/>
      <c r="G114" s="3"/>
      <c r="H114" s="3"/>
      <c r="I114" s="6"/>
      <c r="J114" s="3"/>
      <c r="K114" s="7"/>
      <c r="L114" s="13" t="str">
        <f>IF(C114="","",IF(COUNTIFS(Parametry!$C$54:$C$113,E114)=1,INDEX(Parametry!$D$54:$D$113,MATCH(E114,Parametry!$C$54:$C$113,0)),""))</f>
        <v/>
      </c>
      <c r="M114" s="7">
        <f t="shared" si="3"/>
        <v>0</v>
      </c>
      <c r="N114" s="13">
        <f>IF(AND(ISNUMBER(D114),ISNUMBER(Parametry!$G$6)),IF(AND(YEAR(D114)=Parametry!$G$6,M114&lt;=Parametry!$G$7),1,0),0)</f>
        <v>0</v>
      </c>
      <c r="O114" s="13">
        <f>IF(C114="",IF(COUNTA(D114:J114)&gt;0,1,0),IF(OR(COUNTIFS($C$9:$C$1008,C114)&lt;&gt;1,NOT(ISNUMBER(D114)),NOT(ISNUMBER(I114)),L114="",AND(F114&lt;&gt;"",COUNTIFS(Umowy!$C$9:$C$108,F114,Umowy!$D$9:$D$108,L114)&lt;&gt;1)),1,0))</f>
        <v>0</v>
      </c>
      <c r="P114" s="7" t="str">
        <f t="shared" si="4"/>
        <v/>
      </c>
      <c r="Q114" s="7" t="str">
        <f t="shared" si="5"/>
        <v/>
      </c>
    </row>
    <row r="115" spans="1:17" ht="24" customHeight="1">
      <c r="A115" s="7"/>
      <c r="B115" s="7"/>
      <c r="C115" s="3"/>
      <c r="D115" s="2"/>
      <c r="E115" s="3"/>
      <c r="F115" s="3"/>
      <c r="G115" s="3"/>
      <c r="H115" s="3"/>
      <c r="I115" s="6"/>
      <c r="J115" s="3"/>
      <c r="K115" s="7"/>
      <c r="L115" s="13" t="str">
        <f>IF(C115="","",IF(COUNTIFS(Parametry!$C$54:$C$113,E115)=1,INDEX(Parametry!$D$54:$D$113,MATCH(E115,Parametry!$C$54:$C$113,0)),""))</f>
        <v/>
      </c>
      <c r="M115" s="7">
        <f t="shared" si="3"/>
        <v>0</v>
      </c>
      <c r="N115" s="13">
        <f>IF(AND(ISNUMBER(D115),ISNUMBER(Parametry!$G$6)),IF(AND(YEAR(D115)=Parametry!$G$6,M115&lt;=Parametry!$G$7),1,0),0)</f>
        <v>0</v>
      </c>
      <c r="O115" s="13">
        <f>IF(C115="",IF(COUNTA(D115:J115)&gt;0,1,0),IF(OR(COUNTIFS($C$9:$C$1008,C115)&lt;&gt;1,NOT(ISNUMBER(D115)),NOT(ISNUMBER(I115)),L115="",AND(F115&lt;&gt;"",COUNTIFS(Umowy!$C$9:$C$108,F115,Umowy!$D$9:$D$108,L115)&lt;&gt;1)),1,0))</f>
        <v>0</v>
      </c>
      <c r="P115" s="7" t="str">
        <f t="shared" si="4"/>
        <v/>
      </c>
      <c r="Q115" s="7" t="str">
        <f t="shared" si="5"/>
        <v/>
      </c>
    </row>
    <row r="116" spans="1:17" ht="24" customHeight="1">
      <c r="A116" s="7"/>
      <c r="B116" s="7"/>
      <c r="C116" s="3"/>
      <c r="D116" s="2"/>
      <c r="E116" s="3"/>
      <c r="F116" s="3"/>
      <c r="G116" s="3"/>
      <c r="H116" s="3"/>
      <c r="I116" s="6"/>
      <c r="J116" s="3"/>
      <c r="K116" s="7"/>
      <c r="L116" s="13" t="str">
        <f>IF(C116="","",IF(COUNTIFS(Parametry!$C$54:$C$113,E116)=1,INDEX(Parametry!$D$54:$D$113,MATCH(E116,Parametry!$C$54:$C$113,0)),""))</f>
        <v/>
      </c>
      <c r="M116" s="7">
        <f t="shared" si="3"/>
        <v>0</v>
      </c>
      <c r="N116" s="13">
        <f>IF(AND(ISNUMBER(D116),ISNUMBER(Parametry!$G$6)),IF(AND(YEAR(D116)=Parametry!$G$6,M116&lt;=Parametry!$G$7),1,0),0)</f>
        <v>0</v>
      </c>
      <c r="O116" s="13">
        <f>IF(C116="",IF(COUNTA(D116:J116)&gt;0,1,0),IF(OR(COUNTIFS($C$9:$C$1008,C116)&lt;&gt;1,NOT(ISNUMBER(D116)),NOT(ISNUMBER(I116)),L116="",AND(F116&lt;&gt;"",COUNTIFS(Umowy!$C$9:$C$108,F116,Umowy!$D$9:$D$108,L116)&lt;&gt;1)),1,0))</f>
        <v>0</v>
      </c>
      <c r="P116" s="7" t="str">
        <f t="shared" si="4"/>
        <v/>
      </c>
      <c r="Q116" s="7" t="str">
        <f t="shared" si="5"/>
        <v/>
      </c>
    </row>
    <row r="117" spans="1:17" ht="24" customHeight="1">
      <c r="A117" s="7"/>
      <c r="B117" s="7"/>
      <c r="C117" s="3"/>
      <c r="D117" s="2"/>
      <c r="E117" s="3"/>
      <c r="F117" s="3"/>
      <c r="G117" s="3"/>
      <c r="H117" s="3"/>
      <c r="I117" s="6"/>
      <c r="J117" s="3"/>
      <c r="K117" s="7"/>
      <c r="L117" s="13" t="str">
        <f>IF(C117="","",IF(COUNTIFS(Parametry!$C$54:$C$113,E117)=1,INDEX(Parametry!$D$54:$D$113,MATCH(E117,Parametry!$C$54:$C$113,0)),""))</f>
        <v/>
      </c>
      <c r="M117" s="7">
        <f t="shared" si="3"/>
        <v>0</v>
      </c>
      <c r="N117" s="13">
        <f>IF(AND(ISNUMBER(D117),ISNUMBER(Parametry!$G$6)),IF(AND(YEAR(D117)=Parametry!$G$6,M117&lt;=Parametry!$G$7),1,0),0)</f>
        <v>0</v>
      </c>
      <c r="O117" s="13">
        <f>IF(C117="",IF(COUNTA(D117:J117)&gt;0,1,0),IF(OR(COUNTIFS($C$9:$C$1008,C117)&lt;&gt;1,NOT(ISNUMBER(D117)),NOT(ISNUMBER(I117)),L117="",AND(F117&lt;&gt;"",COUNTIFS(Umowy!$C$9:$C$108,F117,Umowy!$D$9:$D$108,L117)&lt;&gt;1)),1,0))</f>
        <v>0</v>
      </c>
      <c r="P117" s="7" t="str">
        <f t="shared" si="4"/>
        <v/>
      </c>
      <c r="Q117" s="7" t="str">
        <f t="shared" si="5"/>
        <v/>
      </c>
    </row>
    <row r="118" spans="1:17" ht="24" customHeight="1">
      <c r="A118" s="7"/>
      <c r="B118" s="7"/>
      <c r="C118" s="3"/>
      <c r="D118" s="2"/>
      <c r="E118" s="3"/>
      <c r="F118" s="3"/>
      <c r="G118" s="3"/>
      <c r="H118" s="3"/>
      <c r="I118" s="6"/>
      <c r="J118" s="3"/>
      <c r="K118" s="7"/>
      <c r="L118" s="13" t="str">
        <f>IF(C118="","",IF(COUNTIFS(Parametry!$C$54:$C$113,E118)=1,INDEX(Parametry!$D$54:$D$113,MATCH(E118,Parametry!$C$54:$C$113,0)),""))</f>
        <v/>
      </c>
      <c r="M118" s="7">
        <f t="shared" si="3"/>
        <v>0</v>
      </c>
      <c r="N118" s="13">
        <f>IF(AND(ISNUMBER(D118),ISNUMBER(Parametry!$G$6)),IF(AND(YEAR(D118)=Parametry!$G$6,M118&lt;=Parametry!$G$7),1,0),0)</f>
        <v>0</v>
      </c>
      <c r="O118" s="13">
        <f>IF(C118="",IF(COUNTA(D118:J118)&gt;0,1,0),IF(OR(COUNTIFS($C$9:$C$1008,C118)&lt;&gt;1,NOT(ISNUMBER(D118)),NOT(ISNUMBER(I118)),L118="",AND(F118&lt;&gt;"",COUNTIFS(Umowy!$C$9:$C$108,F118,Umowy!$D$9:$D$108,L118)&lt;&gt;1)),1,0))</f>
        <v>0</v>
      </c>
      <c r="P118" s="7" t="str">
        <f t="shared" si="4"/>
        <v/>
      </c>
      <c r="Q118" s="7" t="str">
        <f t="shared" si="5"/>
        <v/>
      </c>
    </row>
    <row r="119" spans="1:17" ht="24" customHeight="1">
      <c r="A119" s="7"/>
      <c r="B119" s="7"/>
      <c r="C119" s="3"/>
      <c r="D119" s="2"/>
      <c r="E119" s="3"/>
      <c r="F119" s="3"/>
      <c r="G119" s="3"/>
      <c r="H119" s="3"/>
      <c r="I119" s="6"/>
      <c r="J119" s="3"/>
      <c r="K119" s="7"/>
      <c r="L119" s="13" t="str">
        <f>IF(C119="","",IF(COUNTIFS(Parametry!$C$54:$C$113,E119)=1,INDEX(Parametry!$D$54:$D$113,MATCH(E119,Parametry!$C$54:$C$113,0)),""))</f>
        <v/>
      </c>
      <c r="M119" s="7">
        <f t="shared" si="3"/>
        <v>0</v>
      </c>
      <c r="N119" s="13">
        <f>IF(AND(ISNUMBER(D119),ISNUMBER(Parametry!$G$6)),IF(AND(YEAR(D119)=Parametry!$G$6,M119&lt;=Parametry!$G$7),1,0),0)</f>
        <v>0</v>
      </c>
      <c r="O119" s="13">
        <f>IF(C119="",IF(COUNTA(D119:J119)&gt;0,1,0),IF(OR(COUNTIFS($C$9:$C$1008,C119)&lt;&gt;1,NOT(ISNUMBER(D119)),NOT(ISNUMBER(I119)),L119="",AND(F119&lt;&gt;"",COUNTIFS(Umowy!$C$9:$C$108,F119,Umowy!$D$9:$D$108,L119)&lt;&gt;1)),1,0))</f>
        <v>0</v>
      </c>
      <c r="P119" s="7" t="str">
        <f t="shared" si="4"/>
        <v/>
      </c>
      <c r="Q119" s="7" t="str">
        <f t="shared" si="5"/>
        <v/>
      </c>
    </row>
    <row r="120" spans="1:17" ht="24" customHeight="1">
      <c r="A120" s="7"/>
      <c r="B120" s="7"/>
      <c r="C120" s="3"/>
      <c r="D120" s="2"/>
      <c r="E120" s="3"/>
      <c r="F120" s="3"/>
      <c r="G120" s="3"/>
      <c r="H120" s="3"/>
      <c r="I120" s="6"/>
      <c r="J120" s="3"/>
      <c r="K120" s="7"/>
      <c r="L120" s="13" t="str">
        <f>IF(C120="","",IF(COUNTIFS(Parametry!$C$54:$C$113,E120)=1,INDEX(Parametry!$D$54:$D$113,MATCH(E120,Parametry!$C$54:$C$113,0)),""))</f>
        <v/>
      </c>
      <c r="M120" s="7">
        <f t="shared" si="3"/>
        <v>0</v>
      </c>
      <c r="N120" s="13">
        <f>IF(AND(ISNUMBER(D120),ISNUMBER(Parametry!$G$6)),IF(AND(YEAR(D120)=Parametry!$G$6,M120&lt;=Parametry!$G$7),1,0),0)</f>
        <v>0</v>
      </c>
      <c r="O120" s="13">
        <f>IF(C120="",IF(COUNTA(D120:J120)&gt;0,1,0),IF(OR(COUNTIFS($C$9:$C$1008,C120)&lt;&gt;1,NOT(ISNUMBER(D120)),NOT(ISNUMBER(I120)),L120="",AND(F120&lt;&gt;"",COUNTIFS(Umowy!$C$9:$C$108,F120,Umowy!$D$9:$D$108,L120)&lt;&gt;1)),1,0))</f>
        <v>0</v>
      </c>
      <c r="P120" s="7" t="str">
        <f t="shared" si="4"/>
        <v/>
      </c>
      <c r="Q120" s="7" t="str">
        <f t="shared" si="5"/>
        <v/>
      </c>
    </row>
    <row r="121" spans="1:17" ht="24" customHeight="1">
      <c r="A121" s="7"/>
      <c r="B121" s="7"/>
      <c r="C121" s="3"/>
      <c r="D121" s="2"/>
      <c r="E121" s="3"/>
      <c r="F121" s="3"/>
      <c r="G121" s="3"/>
      <c r="H121" s="3"/>
      <c r="I121" s="6"/>
      <c r="J121" s="3"/>
      <c r="K121" s="7"/>
      <c r="L121" s="13" t="str">
        <f>IF(C121="","",IF(COUNTIFS(Parametry!$C$54:$C$113,E121)=1,INDEX(Parametry!$D$54:$D$113,MATCH(E121,Parametry!$C$54:$C$113,0)),""))</f>
        <v/>
      </c>
      <c r="M121" s="7">
        <f t="shared" si="3"/>
        <v>0</v>
      </c>
      <c r="N121" s="13">
        <f>IF(AND(ISNUMBER(D121),ISNUMBER(Parametry!$G$6)),IF(AND(YEAR(D121)=Parametry!$G$6,M121&lt;=Parametry!$G$7),1,0),0)</f>
        <v>0</v>
      </c>
      <c r="O121" s="13">
        <f>IF(C121="",IF(COUNTA(D121:J121)&gt;0,1,0),IF(OR(COUNTIFS($C$9:$C$1008,C121)&lt;&gt;1,NOT(ISNUMBER(D121)),NOT(ISNUMBER(I121)),L121="",AND(F121&lt;&gt;"",COUNTIFS(Umowy!$C$9:$C$108,F121,Umowy!$D$9:$D$108,L121)&lt;&gt;1)),1,0))</f>
        <v>0</v>
      </c>
      <c r="P121" s="7" t="str">
        <f t="shared" si="4"/>
        <v/>
      </c>
      <c r="Q121" s="7" t="str">
        <f t="shared" si="5"/>
        <v/>
      </c>
    </row>
    <row r="122" spans="1:17" ht="24" customHeight="1">
      <c r="A122" s="7"/>
      <c r="B122" s="7"/>
      <c r="C122" s="3"/>
      <c r="D122" s="2"/>
      <c r="E122" s="3"/>
      <c r="F122" s="3"/>
      <c r="G122" s="3"/>
      <c r="H122" s="3"/>
      <c r="I122" s="6"/>
      <c r="J122" s="3"/>
      <c r="K122" s="7"/>
      <c r="L122" s="13" t="str">
        <f>IF(C122="","",IF(COUNTIFS(Parametry!$C$54:$C$113,E122)=1,INDEX(Parametry!$D$54:$D$113,MATCH(E122,Parametry!$C$54:$C$113,0)),""))</f>
        <v/>
      </c>
      <c r="M122" s="7">
        <f t="shared" si="3"/>
        <v>0</v>
      </c>
      <c r="N122" s="13">
        <f>IF(AND(ISNUMBER(D122),ISNUMBER(Parametry!$G$6)),IF(AND(YEAR(D122)=Parametry!$G$6,M122&lt;=Parametry!$G$7),1,0),0)</f>
        <v>0</v>
      </c>
      <c r="O122" s="13">
        <f>IF(C122="",IF(COUNTA(D122:J122)&gt;0,1,0),IF(OR(COUNTIFS($C$9:$C$1008,C122)&lt;&gt;1,NOT(ISNUMBER(D122)),NOT(ISNUMBER(I122)),L122="",AND(F122&lt;&gt;"",COUNTIFS(Umowy!$C$9:$C$108,F122,Umowy!$D$9:$D$108,L122)&lt;&gt;1)),1,0))</f>
        <v>0</v>
      </c>
      <c r="P122" s="7" t="str">
        <f t="shared" si="4"/>
        <v/>
      </c>
      <c r="Q122" s="7" t="str">
        <f t="shared" si="5"/>
        <v/>
      </c>
    </row>
    <row r="123" spans="1:17" ht="24" customHeight="1">
      <c r="A123" s="7"/>
      <c r="B123" s="7"/>
      <c r="C123" s="3"/>
      <c r="D123" s="2"/>
      <c r="E123" s="3"/>
      <c r="F123" s="3"/>
      <c r="G123" s="3"/>
      <c r="H123" s="3"/>
      <c r="I123" s="6"/>
      <c r="J123" s="3"/>
      <c r="K123" s="7"/>
      <c r="L123" s="13" t="str">
        <f>IF(C123="","",IF(COUNTIFS(Parametry!$C$54:$C$113,E123)=1,INDEX(Parametry!$D$54:$D$113,MATCH(E123,Parametry!$C$54:$C$113,0)),""))</f>
        <v/>
      </c>
      <c r="M123" s="7">
        <f t="shared" si="3"/>
        <v>0</v>
      </c>
      <c r="N123" s="13">
        <f>IF(AND(ISNUMBER(D123),ISNUMBER(Parametry!$G$6)),IF(AND(YEAR(D123)=Parametry!$G$6,M123&lt;=Parametry!$G$7),1,0),0)</f>
        <v>0</v>
      </c>
      <c r="O123" s="13">
        <f>IF(C123="",IF(COUNTA(D123:J123)&gt;0,1,0),IF(OR(COUNTIFS($C$9:$C$1008,C123)&lt;&gt;1,NOT(ISNUMBER(D123)),NOT(ISNUMBER(I123)),L123="",AND(F123&lt;&gt;"",COUNTIFS(Umowy!$C$9:$C$108,F123,Umowy!$D$9:$D$108,L123)&lt;&gt;1)),1,0))</f>
        <v>0</v>
      </c>
      <c r="P123" s="7" t="str">
        <f t="shared" si="4"/>
        <v/>
      </c>
      <c r="Q123" s="7" t="str">
        <f t="shared" si="5"/>
        <v/>
      </c>
    </row>
    <row r="124" spans="1:17" ht="24" customHeight="1">
      <c r="A124" s="7"/>
      <c r="B124" s="7"/>
      <c r="C124" s="3"/>
      <c r="D124" s="2"/>
      <c r="E124" s="3"/>
      <c r="F124" s="3"/>
      <c r="G124" s="3"/>
      <c r="H124" s="3"/>
      <c r="I124" s="6"/>
      <c r="J124" s="3"/>
      <c r="K124" s="7"/>
      <c r="L124" s="13" t="str">
        <f>IF(C124="","",IF(COUNTIFS(Parametry!$C$54:$C$113,E124)=1,INDEX(Parametry!$D$54:$D$113,MATCH(E124,Parametry!$C$54:$C$113,0)),""))</f>
        <v/>
      </c>
      <c r="M124" s="7">
        <f t="shared" si="3"/>
        <v>0</v>
      </c>
      <c r="N124" s="13">
        <f>IF(AND(ISNUMBER(D124),ISNUMBER(Parametry!$G$6)),IF(AND(YEAR(D124)=Parametry!$G$6,M124&lt;=Parametry!$G$7),1,0),0)</f>
        <v>0</v>
      </c>
      <c r="O124" s="13">
        <f>IF(C124="",IF(COUNTA(D124:J124)&gt;0,1,0),IF(OR(COUNTIFS($C$9:$C$1008,C124)&lt;&gt;1,NOT(ISNUMBER(D124)),NOT(ISNUMBER(I124)),L124="",AND(F124&lt;&gt;"",COUNTIFS(Umowy!$C$9:$C$108,F124,Umowy!$D$9:$D$108,L124)&lt;&gt;1)),1,0))</f>
        <v>0</v>
      </c>
      <c r="P124" s="7" t="str">
        <f t="shared" si="4"/>
        <v/>
      </c>
      <c r="Q124" s="7" t="str">
        <f t="shared" si="5"/>
        <v/>
      </c>
    </row>
    <row r="125" spans="1:17" ht="24" customHeight="1">
      <c r="A125" s="7"/>
      <c r="B125" s="7"/>
      <c r="C125" s="3"/>
      <c r="D125" s="2"/>
      <c r="E125" s="3"/>
      <c r="F125" s="3"/>
      <c r="G125" s="3"/>
      <c r="H125" s="3"/>
      <c r="I125" s="6"/>
      <c r="J125" s="3"/>
      <c r="K125" s="7"/>
      <c r="L125" s="13" t="str">
        <f>IF(C125="","",IF(COUNTIFS(Parametry!$C$54:$C$113,E125)=1,INDEX(Parametry!$D$54:$D$113,MATCH(E125,Parametry!$C$54:$C$113,0)),""))</f>
        <v/>
      </c>
      <c r="M125" s="7">
        <f t="shared" si="3"/>
        <v>0</v>
      </c>
      <c r="N125" s="13">
        <f>IF(AND(ISNUMBER(D125),ISNUMBER(Parametry!$G$6)),IF(AND(YEAR(D125)=Parametry!$G$6,M125&lt;=Parametry!$G$7),1,0),0)</f>
        <v>0</v>
      </c>
      <c r="O125" s="13">
        <f>IF(C125="",IF(COUNTA(D125:J125)&gt;0,1,0),IF(OR(COUNTIFS($C$9:$C$1008,C125)&lt;&gt;1,NOT(ISNUMBER(D125)),NOT(ISNUMBER(I125)),L125="",AND(F125&lt;&gt;"",COUNTIFS(Umowy!$C$9:$C$108,F125,Umowy!$D$9:$D$108,L125)&lt;&gt;1)),1,0))</f>
        <v>0</v>
      </c>
      <c r="P125" s="7" t="str">
        <f t="shared" si="4"/>
        <v/>
      </c>
      <c r="Q125" s="7" t="str">
        <f t="shared" si="5"/>
        <v/>
      </c>
    </row>
    <row r="126" spans="1:17" ht="24" customHeight="1">
      <c r="A126" s="7"/>
      <c r="B126" s="7"/>
      <c r="C126" s="3"/>
      <c r="D126" s="2"/>
      <c r="E126" s="3"/>
      <c r="F126" s="3"/>
      <c r="G126" s="3"/>
      <c r="H126" s="3"/>
      <c r="I126" s="6"/>
      <c r="J126" s="3"/>
      <c r="K126" s="7"/>
      <c r="L126" s="13" t="str">
        <f>IF(C126="","",IF(COUNTIFS(Parametry!$C$54:$C$113,E126)=1,INDEX(Parametry!$D$54:$D$113,MATCH(E126,Parametry!$C$54:$C$113,0)),""))</f>
        <v/>
      </c>
      <c r="M126" s="7">
        <f t="shared" si="3"/>
        <v>0</v>
      </c>
      <c r="N126" s="13">
        <f>IF(AND(ISNUMBER(D126),ISNUMBER(Parametry!$G$6)),IF(AND(YEAR(D126)=Parametry!$G$6,M126&lt;=Parametry!$G$7),1,0),0)</f>
        <v>0</v>
      </c>
      <c r="O126" s="13">
        <f>IF(C126="",IF(COUNTA(D126:J126)&gt;0,1,0),IF(OR(COUNTIFS($C$9:$C$1008,C126)&lt;&gt;1,NOT(ISNUMBER(D126)),NOT(ISNUMBER(I126)),L126="",AND(F126&lt;&gt;"",COUNTIFS(Umowy!$C$9:$C$108,F126,Umowy!$D$9:$D$108,L126)&lt;&gt;1)),1,0))</f>
        <v>0</v>
      </c>
      <c r="P126" s="7" t="str">
        <f t="shared" si="4"/>
        <v/>
      </c>
      <c r="Q126" s="7" t="str">
        <f t="shared" si="5"/>
        <v/>
      </c>
    </row>
    <row r="127" spans="1:17" ht="24" customHeight="1">
      <c r="A127" s="7"/>
      <c r="B127" s="7"/>
      <c r="C127" s="3"/>
      <c r="D127" s="2"/>
      <c r="E127" s="3"/>
      <c r="F127" s="3"/>
      <c r="G127" s="3"/>
      <c r="H127" s="3"/>
      <c r="I127" s="6"/>
      <c r="J127" s="3"/>
      <c r="K127" s="7"/>
      <c r="L127" s="13" t="str">
        <f>IF(C127="","",IF(COUNTIFS(Parametry!$C$54:$C$113,E127)=1,INDEX(Parametry!$D$54:$D$113,MATCH(E127,Parametry!$C$54:$C$113,0)),""))</f>
        <v/>
      </c>
      <c r="M127" s="7">
        <f t="shared" si="3"/>
        <v>0</v>
      </c>
      <c r="N127" s="13">
        <f>IF(AND(ISNUMBER(D127),ISNUMBER(Parametry!$G$6)),IF(AND(YEAR(D127)=Parametry!$G$6,M127&lt;=Parametry!$G$7),1,0),0)</f>
        <v>0</v>
      </c>
      <c r="O127" s="13">
        <f>IF(C127="",IF(COUNTA(D127:J127)&gt;0,1,0),IF(OR(COUNTIFS($C$9:$C$1008,C127)&lt;&gt;1,NOT(ISNUMBER(D127)),NOT(ISNUMBER(I127)),L127="",AND(F127&lt;&gt;"",COUNTIFS(Umowy!$C$9:$C$108,F127,Umowy!$D$9:$D$108,L127)&lt;&gt;1)),1,0))</f>
        <v>0</v>
      </c>
      <c r="P127" s="7" t="str">
        <f t="shared" si="4"/>
        <v/>
      </c>
      <c r="Q127" s="7" t="str">
        <f t="shared" si="5"/>
        <v/>
      </c>
    </row>
    <row r="128" spans="1:17" ht="24" customHeight="1">
      <c r="A128" s="7"/>
      <c r="B128" s="7"/>
      <c r="C128" s="3"/>
      <c r="D128" s="2"/>
      <c r="E128" s="3"/>
      <c r="F128" s="3"/>
      <c r="G128" s="3"/>
      <c r="H128" s="3"/>
      <c r="I128" s="6"/>
      <c r="J128" s="3"/>
      <c r="K128" s="7"/>
      <c r="L128" s="13" t="str">
        <f>IF(C128="","",IF(COUNTIFS(Parametry!$C$54:$C$113,E128)=1,INDEX(Parametry!$D$54:$D$113,MATCH(E128,Parametry!$C$54:$C$113,0)),""))</f>
        <v/>
      </c>
      <c r="M128" s="7">
        <f t="shared" si="3"/>
        <v>0</v>
      </c>
      <c r="N128" s="13">
        <f>IF(AND(ISNUMBER(D128),ISNUMBER(Parametry!$G$6)),IF(AND(YEAR(D128)=Parametry!$G$6,M128&lt;=Parametry!$G$7),1,0),0)</f>
        <v>0</v>
      </c>
      <c r="O128" s="13">
        <f>IF(C128="",IF(COUNTA(D128:J128)&gt;0,1,0),IF(OR(COUNTIFS($C$9:$C$1008,C128)&lt;&gt;1,NOT(ISNUMBER(D128)),NOT(ISNUMBER(I128)),L128="",AND(F128&lt;&gt;"",COUNTIFS(Umowy!$C$9:$C$108,F128,Umowy!$D$9:$D$108,L128)&lt;&gt;1)),1,0))</f>
        <v>0</v>
      </c>
      <c r="P128" s="7" t="str">
        <f t="shared" si="4"/>
        <v/>
      </c>
      <c r="Q128" s="7" t="str">
        <f t="shared" si="5"/>
        <v/>
      </c>
    </row>
    <row r="129" spans="1:17" ht="24" customHeight="1">
      <c r="A129" s="7"/>
      <c r="B129" s="7"/>
      <c r="C129" s="3"/>
      <c r="D129" s="2"/>
      <c r="E129" s="3"/>
      <c r="F129" s="3"/>
      <c r="G129" s="3"/>
      <c r="H129" s="3"/>
      <c r="I129" s="6"/>
      <c r="J129" s="3"/>
      <c r="K129" s="7"/>
      <c r="L129" s="13" t="str">
        <f>IF(C129="","",IF(COUNTIFS(Parametry!$C$54:$C$113,E129)=1,INDEX(Parametry!$D$54:$D$113,MATCH(E129,Parametry!$C$54:$C$113,0)),""))</f>
        <v/>
      </c>
      <c r="M129" s="7">
        <f t="shared" si="3"/>
        <v>0</v>
      </c>
      <c r="N129" s="13">
        <f>IF(AND(ISNUMBER(D129),ISNUMBER(Parametry!$G$6)),IF(AND(YEAR(D129)=Parametry!$G$6,M129&lt;=Parametry!$G$7),1,0),0)</f>
        <v>0</v>
      </c>
      <c r="O129" s="13">
        <f>IF(C129="",IF(COUNTA(D129:J129)&gt;0,1,0),IF(OR(COUNTIFS($C$9:$C$1008,C129)&lt;&gt;1,NOT(ISNUMBER(D129)),NOT(ISNUMBER(I129)),L129="",AND(F129&lt;&gt;"",COUNTIFS(Umowy!$C$9:$C$108,F129,Umowy!$D$9:$D$108,L129)&lt;&gt;1)),1,0))</f>
        <v>0</v>
      </c>
      <c r="P129" s="7" t="str">
        <f t="shared" si="4"/>
        <v/>
      </c>
      <c r="Q129" s="7" t="str">
        <f t="shared" si="5"/>
        <v/>
      </c>
    </row>
    <row r="130" spans="1:17" ht="24" customHeight="1">
      <c r="A130" s="7"/>
      <c r="B130" s="7"/>
      <c r="C130" s="3"/>
      <c r="D130" s="2"/>
      <c r="E130" s="3"/>
      <c r="F130" s="3"/>
      <c r="G130" s="3"/>
      <c r="H130" s="3"/>
      <c r="I130" s="6"/>
      <c r="J130" s="3"/>
      <c r="K130" s="7"/>
      <c r="L130" s="13" t="str">
        <f>IF(C130="","",IF(COUNTIFS(Parametry!$C$54:$C$113,E130)=1,INDEX(Parametry!$D$54:$D$113,MATCH(E130,Parametry!$C$54:$C$113,0)),""))</f>
        <v/>
      </c>
      <c r="M130" s="7">
        <f t="shared" si="3"/>
        <v>0</v>
      </c>
      <c r="N130" s="13">
        <f>IF(AND(ISNUMBER(D130),ISNUMBER(Parametry!$G$6)),IF(AND(YEAR(D130)=Parametry!$G$6,M130&lt;=Parametry!$G$7),1,0),0)</f>
        <v>0</v>
      </c>
      <c r="O130" s="13">
        <f>IF(C130="",IF(COUNTA(D130:J130)&gt;0,1,0),IF(OR(COUNTIFS($C$9:$C$1008,C130)&lt;&gt;1,NOT(ISNUMBER(D130)),NOT(ISNUMBER(I130)),L130="",AND(F130&lt;&gt;"",COUNTIFS(Umowy!$C$9:$C$108,F130,Umowy!$D$9:$D$108,L130)&lt;&gt;1)),1,0))</f>
        <v>0</v>
      </c>
      <c r="P130" s="7" t="str">
        <f t="shared" si="4"/>
        <v/>
      </c>
      <c r="Q130" s="7" t="str">
        <f t="shared" si="5"/>
        <v/>
      </c>
    </row>
    <row r="131" spans="1:17" ht="24" customHeight="1">
      <c r="A131" s="7"/>
      <c r="B131" s="7"/>
      <c r="C131" s="3"/>
      <c r="D131" s="2"/>
      <c r="E131" s="3"/>
      <c r="F131" s="3"/>
      <c r="G131" s="3"/>
      <c r="H131" s="3"/>
      <c r="I131" s="6"/>
      <c r="J131" s="3"/>
      <c r="K131" s="7"/>
      <c r="L131" s="13" t="str">
        <f>IF(C131="","",IF(COUNTIFS(Parametry!$C$54:$C$113,E131)=1,INDEX(Parametry!$D$54:$D$113,MATCH(E131,Parametry!$C$54:$C$113,0)),""))</f>
        <v/>
      </c>
      <c r="M131" s="7">
        <f t="shared" si="3"/>
        <v>0</v>
      </c>
      <c r="N131" s="13">
        <f>IF(AND(ISNUMBER(D131),ISNUMBER(Parametry!$G$6)),IF(AND(YEAR(D131)=Parametry!$G$6,M131&lt;=Parametry!$G$7),1,0),0)</f>
        <v>0</v>
      </c>
      <c r="O131" s="13">
        <f>IF(C131="",IF(COUNTA(D131:J131)&gt;0,1,0),IF(OR(COUNTIFS($C$9:$C$1008,C131)&lt;&gt;1,NOT(ISNUMBER(D131)),NOT(ISNUMBER(I131)),L131="",AND(F131&lt;&gt;"",COUNTIFS(Umowy!$C$9:$C$108,F131,Umowy!$D$9:$D$108,L131)&lt;&gt;1)),1,0))</f>
        <v>0</v>
      </c>
      <c r="P131" s="7" t="str">
        <f t="shared" si="4"/>
        <v/>
      </c>
      <c r="Q131" s="7" t="str">
        <f t="shared" si="5"/>
        <v/>
      </c>
    </row>
    <row r="132" spans="1:17" ht="24" customHeight="1">
      <c r="A132" s="7"/>
      <c r="B132" s="7"/>
      <c r="C132" s="3"/>
      <c r="D132" s="2"/>
      <c r="E132" s="3"/>
      <c r="F132" s="3"/>
      <c r="G132" s="3"/>
      <c r="H132" s="3"/>
      <c r="I132" s="6"/>
      <c r="J132" s="3"/>
      <c r="K132" s="7"/>
      <c r="L132" s="13" t="str">
        <f>IF(C132="","",IF(COUNTIFS(Parametry!$C$54:$C$113,E132)=1,INDEX(Parametry!$D$54:$D$113,MATCH(E132,Parametry!$C$54:$C$113,0)),""))</f>
        <v/>
      </c>
      <c r="M132" s="7">
        <f t="shared" si="3"/>
        <v>0</v>
      </c>
      <c r="N132" s="13">
        <f>IF(AND(ISNUMBER(D132),ISNUMBER(Parametry!$G$6)),IF(AND(YEAR(D132)=Parametry!$G$6,M132&lt;=Parametry!$G$7),1,0),0)</f>
        <v>0</v>
      </c>
      <c r="O132" s="13">
        <f>IF(C132="",IF(COUNTA(D132:J132)&gt;0,1,0),IF(OR(COUNTIFS($C$9:$C$1008,C132)&lt;&gt;1,NOT(ISNUMBER(D132)),NOT(ISNUMBER(I132)),L132="",AND(F132&lt;&gt;"",COUNTIFS(Umowy!$C$9:$C$108,F132,Umowy!$D$9:$D$108,L132)&lt;&gt;1)),1,0))</f>
        <v>0</v>
      </c>
      <c r="P132" s="7" t="str">
        <f t="shared" si="4"/>
        <v/>
      </c>
      <c r="Q132" s="7" t="str">
        <f t="shared" si="5"/>
        <v/>
      </c>
    </row>
    <row r="133" spans="1:17" ht="24" customHeight="1">
      <c r="A133" s="7"/>
      <c r="B133" s="7"/>
      <c r="C133" s="3"/>
      <c r="D133" s="2"/>
      <c r="E133" s="3"/>
      <c r="F133" s="3"/>
      <c r="G133" s="3"/>
      <c r="H133" s="3"/>
      <c r="I133" s="6"/>
      <c r="J133" s="3"/>
      <c r="K133" s="7"/>
      <c r="L133" s="13" t="str">
        <f>IF(C133="","",IF(COUNTIFS(Parametry!$C$54:$C$113,E133)=1,INDEX(Parametry!$D$54:$D$113,MATCH(E133,Parametry!$C$54:$C$113,0)),""))</f>
        <v/>
      </c>
      <c r="M133" s="7">
        <f t="shared" si="3"/>
        <v>0</v>
      </c>
      <c r="N133" s="13">
        <f>IF(AND(ISNUMBER(D133),ISNUMBER(Parametry!$G$6)),IF(AND(YEAR(D133)=Parametry!$G$6,M133&lt;=Parametry!$G$7),1,0),0)</f>
        <v>0</v>
      </c>
      <c r="O133" s="13">
        <f>IF(C133="",IF(COUNTA(D133:J133)&gt;0,1,0),IF(OR(COUNTIFS($C$9:$C$1008,C133)&lt;&gt;1,NOT(ISNUMBER(D133)),NOT(ISNUMBER(I133)),L133="",AND(F133&lt;&gt;"",COUNTIFS(Umowy!$C$9:$C$108,F133,Umowy!$D$9:$D$108,L133)&lt;&gt;1)),1,0))</f>
        <v>0</v>
      </c>
      <c r="P133" s="7" t="str">
        <f t="shared" si="4"/>
        <v/>
      </c>
      <c r="Q133" s="7" t="str">
        <f t="shared" si="5"/>
        <v/>
      </c>
    </row>
    <row r="134" spans="1:17" ht="24" customHeight="1">
      <c r="A134" s="7"/>
      <c r="B134" s="7"/>
      <c r="C134" s="3"/>
      <c r="D134" s="2"/>
      <c r="E134" s="3"/>
      <c r="F134" s="3"/>
      <c r="G134" s="3"/>
      <c r="H134" s="3"/>
      <c r="I134" s="6"/>
      <c r="J134" s="3"/>
      <c r="K134" s="7"/>
      <c r="L134" s="13" t="str">
        <f>IF(C134="","",IF(COUNTIFS(Parametry!$C$54:$C$113,E134)=1,INDEX(Parametry!$D$54:$D$113,MATCH(E134,Parametry!$C$54:$C$113,0)),""))</f>
        <v/>
      </c>
      <c r="M134" s="7">
        <f t="shared" si="3"/>
        <v>0</v>
      </c>
      <c r="N134" s="13">
        <f>IF(AND(ISNUMBER(D134),ISNUMBER(Parametry!$G$6)),IF(AND(YEAR(D134)=Parametry!$G$6,M134&lt;=Parametry!$G$7),1,0),0)</f>
        <v>0</v>
      </c>
      <c r="O134" s="13">
        <f>IF(C134="",IF(COUNTA(D134:J134)&gt;0,1,0),IF(OR(COUNTIFS($C$9:$C$1008,C134)&lt;&gt;1,NOT(ISNUMBER(D134)),NOT(ISNUMBER(I134)),L134="",AND(F134&lt;&gt;"",COUNTIFS(Umowy!$C$9:$C$108,F134,Umowy!$D$9:$D$108,L134)&lt;&gt;1)),1,0))</f>
        <v>0</v>
      </c>
      <c r="P134" s="7" t="str">
        <f t="shared" si="4"/>
        <v/>
      </c>
      <c r="Q134" s="7" t="str">
        <f t="shared" si="5"/>
        <v/>
      </c>
    </row>
    <row r="135" spans="1:17" ht="24" customHeight="1">
      <c r="A135" s="7"/>
      <c r="B135" s="7"/>
      <c r="C135" s="3"/>
      <c r="D135" s="2"/>
      <c r="E135" s="3"/>
      <c r="F135" s="3"/>
      <c r="G135" s="3"/>
      <c r="H135" s="3"/>
      <c r="I135" s="6"/>
      <c r="J135" s="3"/>
      <c r="K135" s="7"/>
      <c r="L135" s="13" t="str">
        <f>IF(C135="","",IF(COUNTIFS(Parametry!$C$54:$C$113,E135)=1,INDEX(Parametry!$D$54:$D$113,MATCH(E135,Parametry!$C$54:$C$113,0)),""))</f>
        <v/>
      </c>
      <c r="M135" s="7">
        <f t="shared" si="3"/>
        <v>0</v>
      </c>
      <c r="N135" s="13">
        <f>IF(AND(ISNUMBER(D135),ISNUMBER(Parametry!$G$6)),IF(AND(YEAR(D135)=Parametry!$G$6,M135&lt;=Parametry!$G$7),1,0),0)</f>
        <v>0</v>
      </c>
      <c r="O135" s="13">
        <f>IF(C135="",IF(COUNTA(D135:J135)&gt;0,1,0),IF(OR(COUNTIFS($C$9:$C$1008,C135)&lt;&gt;1,NOT(ISNUMBER(D135)),NOT(ISNUMBER(I135)),L135="",AND(F135&lt;&gt;"",COUNTIFS(Umowy!$C$9:$C$108,F135,Umowy!$D$9:$D$108,L135)&lt;&gt;1)),1,0))</f>
        <v>0</v>
      </c>
      <c r="P135" s="7" t="str">
        <f t="shared" si="4"/>
        <v/>
      </c>
      <c r="Q135" s="7" t="str">
        <f t="shared" si="5"/>
        <v/>
      </c>
    </row>
    <row r="136" spans="1:17" ht="24" customHeight="1">
      <c r="A136" s="7"/>
      <c r="B136" s="7"/>
      <c r="C136" s="3"/>
      <c r="D136" s="2"/>
      <c r="E136" s="3"/>
      <c r="F136" s="3"/>
      <c r="G136" s="3"/>
      <c r="H136" s="3"/>
      <c r="I136" s="6"/>
      <c r="J136" s="3"/>
      <c r="K136" s="7"/>
      <c r="L136" s="13" t="str">
        <f>IF(C136="","",IF(COUNTIFS(Parametry!$C$54:$C$113,E136)=1,INDEX(Parametry!$D$54:$D$113,MATCH(E136,Parametry!$C$54:$C$113,0)),""))</f>
        <v/>
      </c>
      <c r="M136" s="7">
        <f t="shared" si="3"/>
        <v>0</v>
      </c>
      <c r="N136" s="13">
        <f>IF(AND(ISNUMBER(D136),ISNUMBER(Parametry!$G$6)),IF(AND(YEAR(D136)=Parametry!$G$6,M136&lt;=Parametry!$G$7),1,0),0)</f>
        <v>0</v>
      </c>
      <c r="O136" s="13">
        <f>IF(C136="",IF(COUNTA(D136:J136)&gt;0,1,0),IF(OR(COUNTIFS($C$9:$C$1008,C136)&lt;&gt;1,NOT(ISNUMBER(D136)),NOT(ISNUMBER(I136)),L136="",AND(F136&lt;&gt;"",COUNTIFS(Umowy!$C$9:$C$108,F136,Umowy!$D$9:$D$108,L136)&lt;&gt;1)),1,0))</f>
        <v>0</v>
      </c>
      <c r="P136" s="7" t="str">
        <f t="shared" si="4"/>
        <v/>
      </c>
      <c r="Q136" s="7" t="str">
        <f t="shared" si="5"/>
        <v/>
      </c>
    </row>
    <row r="137" spans="1:17" ht="24" customHeight="1">
      <c r="A137" s="7"/>
      <c r="B137" s="7"/>
      <c r="C137" s="3"/>
      <c r="D137" s="2"/>
      <c r="E137" s="3"/>
      <c r="F137" s="3"/>
      <c r="G137" s="3"/>
      <c r="H137" s="3"/>
      <c r="I137" s="6"/>
      <c r="J137" s="3"/>
      <c r="K137" s="7"/>
      <c r="L137" s="13" t="str">
        <f>IF(C137="","",IF(COUNTIFS(Parametry!$C$54:$C$113,E137)=1,INDEX(Parametry!$D$54:$D$113,MATCH(E137,Parametry!$C$54:$C$113,0)),""))</f>
        <v/>
      </c>
      <c r="M137" s="7">
        <f t="shared" ref="M137:M200" si="6">IF(ISNUMBER(D137),MONTH(D137),0)</f>
        <v>0</v>
      </c>
      <c r="N137" s="13">
        <f>IF(AND(ISNUMBER(D137),ISNUMBER(Parametry!$G$6)),IF(AND(YEAR(D137)=Parametry!$G$6,M137&lt;=Parametry!$G$7),1,0),0)</f>
        <v>0</v>
      </c>
      <c r="O137" s="13">
        <f>IF(C137="",IF(COUNTA(D137:J137)&gt;0,1,0),IF(OR(COUNTIFS($C$9:$C$1008,C137)&lt;&gt;1,NOT(ISNUMBER(D137)),NOT(ISNUMBER(I137)),L137="",AND(F137&lt;&gt;"",COUNTIFS(Umowy!$C$9:$C$108,F137,Umowy!$D$9:$D$108,L137)&lt;&gt;1)),1,0))</f>
        <v>0</v>
      </c>
      <c r="P137" s="7" t="str">
        <f t="shared" ref="P137:P200" si="7">IF(O137=0,"",IF(C137="","Missing RowID",IF(COUNTIFS($C$9:$C$1008,C137)&lt;&gt;1,"Duplicate RowID",IF(L137="","Unmapped ERPKey",IF(NOT(ISNUMBER(D137)),"Invalid Date",IF(NOT(ISNUMBER(I137)),"Invalid AmountPLN","CommitmentID / BudgetID"))))))</f>
        <v/>
      </c>
      <c r="Q137" s="7" t="str">
        <f t="shared" ref="Q137:Q200" si="8">IF(C137="","",IF(N137=1,"","Nie ujęto w wykonaniu okresu"))</f>
        <v/>
      </c>
    </row>
    <row r="138" spans="1:17" ht="24" customHeight="1">
      <c r="A138" s="7"/>
      <c r="B138" s="7"/>
      <c r="C138" s="3"/>
      <c r="D138" s="2"/>
      <c r="E138" s="3"/>
      <c r="F138" s="3"/>
      <c r="G138" s="3"/>
      <c r="H138" s="3"/>
      <c r="I138" s="6"/>
      <c r="J138" s="3"/>
      <c r="K138" s="7"/>
      <c r="L138" s="13" t="str">
        <f>IF(C138="","",IF(COUNTIFS(Parametry!$C$54:$C$113,E138)=1,INDEX(Parametry!$D$54:$D$113,MATCH(E138,Parametry!$C$54:$C$113,0)),""))</f>
        <v/>
      </c>
      <c r="M138" s="7">
        <f t="shared" si="6"/>
        <v>0</v>
      </c>
      <c r="N138" s="13">
        <f>IF(AND(ISNUMBER(D138),ISNUMBER(Parametry!$G$6)),IF(AND(YEAR(D138)=Parametry!$G$6,M138&lt;=Parametry!$G$7),1,0),0)</f>
        <v>0</v>
      </c>
      <c r="O138" s="13">
        <f>IF(C138="",IF(COUNTA(D138:J138)&gt;0,1,0),IF(OR(COUNTIFS($C$9:$C$1008,C138)&lt;&gt;1,NOT(ISNUMBER(D138)),NOT(ISNUMBER(I138)),L138="",AND(F138&lt;&gt;"",COUNTIFS(Umowy!$C$9:$C$108,F138,Umowy!$D$9:$D$108,L138)&lt;&gt;1)),1,0))</f>
        <v>0</v>
      </c>
      <c r="P138" s="7" t="str">
        <f t="shared" si="7"/>
        <v/>
      </c>
      <c r="Q138" s="7" t="str">
        <f t="shared" si="8"/>
        <v/>
      </c>
    </row>
    <row r="139" spans="1:17" ht="24" customHeight="1">
      <c r="A139" s="7"/>
      <c r="B139" s="7"/>
      <c r="C139" s="3"/>
      <c r="D139" s="2"/>
      <c r="E139" s="3"/>
      <c r="F139" s="3"/>
      <c r="G139" s="3"/>
      <c r="H139" s="3"/>
      <c r="I139" s="6"/>
      <c r="J139" s="3"/>
      <c r="K139" s="7"/>
      <c r="L139" s="13" t="str">
        <f>IF(C139="","",IF(COUNTIFS(Parametry!$C$54:$C$113,E139)=1,INDEX(Parametry!$D$54:$D$113,MATCH(E139,Parametry!$C$54:$C$113,0)),""))</f>
        <v/>
      </c>
      <c r="M139" s="7">
        <f t="shared" si="6"/>
        <v>0</v>
      </c>
      <c r="N139" s="13">
        <f>IF(AND(ISNUMBER(D139),ISNUMBER(Parametry!$G$6)),IF(AND(YEAR(D139)=Parametry!$G$6,M139&lt;=Parametry!$G$7),1,0),0)</f>
        <v>0</v>
      </c>
      <c r="O139" s="13">
        <f>IF(C139="",IF(COUNTA(D139:J139)&gt;0,1,0),IF(OR(COUNTIFS($C$9:$C$1008,C139)&lt;&gt;1,NOT(ISNUMBER(D139)),NOT(ISNUMBER(I139)),L139="",AND(F139&lt;&gt;"",COUNTIFS(Umowy!$C$9:$C$108,F139,Umowy!$D$9:$D$108,L139)&lt;&gt;1)),1,0))</f>
        <v>0</v>
      </c>
      <c r="P139" s="7" t="str">
        <f t="shared" si="7"/>
        <v/>
      </c>
      <c r="Q139" s="7" t="str">
        <f t="shared" si="8"/>
        <v/>
      </c>
    </row>
    <row r="140" spans="1:17" ht="24" customHeight="1">
      <c r="A140" s="7"/>
      <c r="B140" s="7"/>
      <c r="C140" s="3"/>
      <c r="D140" s="2"/>
      <c r="E140" s="3"/>
      <c r="F140" s="3"/>
      <c r="G140" s="3"/>
      <c r="H140" s="3"/>
      <c r="I140" s="6"/>
      <c r="J140" s="3"/>
      <c r="K140" s="7"/>
      <c r="L140" s="13" t="str">
        <f>IF(C140="","",IF(COUNTIFS(Parametry!$C$54:$C$113,E140)=1,INDEX(Parametry!$D$54:$D$113,MATCH(E140,Parametry!$C$54:$C$113,0)),""))</f>
        <v/>
      </c>
      <c r="M140" s="7">
        <f t="shared" si="6"/>
        <v>0</v>
      </c>
      <c r="N140" s="13">
        <f>IF(AND(ISNUMBER(D140),ISNUMBER(Parametry!$G$6)),IF(AND(YEAR(D140)=Parametry!$G$6,M140&lt;=Parametry!$G$7),1,0),0)</f>
        <v>0</v>
      </c>
      <c r="O140" s="13">
        <f>IF(C140="",IF(COUNTA(D140:J140)&gt;0,1,0),IF(OR(COUNTIFS($C$9:$C$1008,C140)&lt;&gt;1,NOT(ISNUMBER(D140)),NOT(ISNUMBER(I140)),L140="",AND(F140&lt;&gt;"",COUNTIFS(Umowy!$C$9:$C$108,F140,Umowy!$D$9:$D$108,L140)&lt;&gt;1)),1,0))</f>
        <v>0</v>
      </c>
      <c r="P140" s="7" t="str">
        <f t="shared" si="7"/>
        <v/>
      </c>
      <c r="Q140" s="7" t="str">
        <f t="shared" si="8"/>
        <v/>
      </c>
    </row>
    <row r="141" spans="1:17" ht="24" customHeight="1">
      <c r="A141" s="7"/>
      <c r="B141" s="7"/>
      <c r="C141" s="3"/>
      <c r="D141" s="2"/>
      <c r="E141" s="3"/>
      <c r="F141" s="3"/>
      <c r="G141" s="3"/>
      <c r="H141" s="3"/>
      <c r="I141" s="6"/>
      <c r="J141" s="3"/>
      <c r="K141" s="7"/>
      <c r="L141" s="13" t="str">
        <f>IF(C141="","",IF(COUNTIFS(Parametry!$C$54:$C$113,E141)=1,INDEX(Parametry!$D$54:$D$113,MATCH(E141,Parametry!$C$54:$C$113,0)),""))</f>
        <v/>
      </c>
      <c r="M141" s="7">
        <f t="shared" si="6"/>
        <v>0</v>
      </c>
      <c r="N141" s="13">
        <f>IF(AND(ISNUMBER(D141),ISNUMBER(Parametry!$G$6)),IF(AND(YEAR(D141)=Parametry!$G$6,M141&lt;=Parametry!$G$7),1,0),0)</f>
        <v>0</v>
      </c>
      <c r="O141" s="13">
        <f>IF(C141="",IF(COUNTA(D141:J141)&gt;0,1,0),IF(OR(COUNTIFS($C$9:$C$1008,C141)&lt;&gt;1,NOT(ISNUMBER(D141)),NOT(ISNUMBER(I141)),L141="",AND(F141&lt;&gt;"",COUNTIFS(Umowy!$C$9:$C$108,F141,Umowy!$D$9:$D$108,L141)&lt;&gt;1)),1,0))</f>
        <v>0</v>
      </c>
      <c r="P141" s="7" t="str">
        <f t="shared" si="7"/>
        <v/>
      </c>
      <c r="Q141" s="7" t="str">
        <f t="shared" si="8"/>
        <v/>
      </c>
    </row>
    <row r="142" spans="1:17" ht="24" customHeight="1">
      <c r="A142" s="7"/>
      <c r="B142" s="7"/>
      <c r="C142" s="3"/>
      <c r="D142" s="2"/>
      <c r="E142" s="3"/>
      <c r="F142" s="3"/>
      <c r="G142" s="3"/>
      <c r="H142" s="3"/>
      <c r="I142" s="6"/>
      <c r="J142" s="3"/>
      <c r="K142" s="7"/>
      <c r="L142" s="13" t="str">
        <f>IF(C142="","",IF(COUNTIFS(Parametry!$C$54:$C$113,E142)=1,INDEX(Parametry!$D$54:$D$113,MATCH(E142,Parametry!$C$54:$C$113,0)),""))</f>
        <v/>
      </c>
      <c r="M142" s="7">
        <f t="shared" si="6"/>
        <v>0</v>
      </c>
      <c r="N142" s="13">
        <f>IF(AND(ISNUMBER(D142),ISNUMBER(Parametry!$G$6)),IF(AND(YEAR(D142)=Parametry!$G$6,M142&lt;=Parametry!$G$7),1,0),0)</f>
        <v>0</v>
      </c>
      <c r="O142" s="13">
        <f>IF(C142="",IF(COUNTA(D142:J142)&gt;0,1,0),IF(OR(COUNTIFS($C$9:$C$1008,C142)&lt;&gt;1,NOT(ISNUMBER(D142)),NOT(ISNUMBER(I142)),L142="",AND(F142&lt;&gt;"",COUNTIFS(Umowy!$C$9:$C$108,F142,Umowy!$D$9:$D$108,L142)&lt;&gt;1)),1,0))</f>
        <v>0</v>
      </c>
      <c r="P142" s="7" t="str">
        <f t="shared" si="7"/>
        <v/>
      </c>
      <c r="Q142" s="7" t="str">
        <f t="shared" si="8"/>
        <v/>
      </c>
    </row>
    <row r="143" spans="1:17" ht="24" customHeight="1">
      <c r="A143" s="7"/>
      <c r="B143" s="7"/>
      <c r="C143" s="3"/>
      <c r="D143" s="2"/>
      <c r="E143" s="3"/>
      <c r="F143" s="3"/>
      <c r="G143" s="3"/>
      <c r="H143" s="3"/>
      <c r="I143" s="6"/>
      <c r="J143" s="3"/>
      <c r="K143" s="7"/>
      <c r="L143" s="13" t="str">
        <f>IF(C143="","",IF(COUNTIFS(Parametry!$C$54:$C$113,E143)=1,INDEX(Parametry!$D$54:$D$113,MATCH(E143,Parametry!$C$54:$C$113,0)),""))</f>
        <v/>
      </c>
      <c r="M143" s="7">
        <f t="shared" si="6"/>
        <v>0</v>
      </c>
      <c r="N143" s="13">
        <f>IF(AND(ISNUMBER(D143),ISNUMBER(Parametry!$G$6)),IF(AND(YEAR(D143)=Parametry!$G$6,M143&lt;=Parametry!$G$7),1,0),0)</f>
        <v>0</v>
      </c>
      <c r="O143" s="13">
        <f>IF(C143="",IF(COUNTA(D143:J143)&gt;0,1,0),IF(OR(COUNTIFS($C$9:$C$1008,C143)&lt;&gt;1,NOT(ISNUMBER(D143)),NOT(ISNUMBER(I143)),L143="",AND(F143&lt;&gt;"",COUNTIFS(Umowy!$C$9:$C$108,F143,Umowy!$D$9:$D$108,L143)&lt;&gt;1)),1,0))</f>
        <v>0</v>
      </c>
      <c r="P143" s="7" t="str">
        <f t="shared" si="7"/>
        <v/>
      </c>
      <c r="Q143" s="7" t="str">
        <f t="shared" si="8"/>
        <v/>
      </c>
    </row>
    <row r="144" spans="1:17" ht="24" customHeight="1">
      <c r="A144" s="7"/>
      <c r="B144" s="7"/>
      <c r="C144" s="3"/>
      <c r="D144" s="2"/>
      <c r="E144" s="3"/>
      <c r="F144" s="3"/>
      <c r="G144" s="3"/>
      <c r="H144" s="3"/>
      <c r="I144" s="6"/>
      <c r="J144" s="3"/>
      <c r="K144" s="7"/>
      <c r="L144" s="13" t="str">
        <f>IF(C144="","",IF(COUNTIFS(Parametry!$C$54:$C$113,E144)=1,INDEX(Parametry!$D$54:$D$113,MATCH(E144,Parametry!$C$54:$C$113,0)),""))</f>
        <v/>
      </c>
      <c r="M144" s="7">
        <f t="shared" si="6"/>
        <v>0</v>
      </c>
      <c r="N144" s="13">
        <f>IF(AND(ISNUMBER(D144),ISNUMBER(Parametry!$G$6)),IF(AND(YEAR(D144)=Parametry!$G$6,M144&lt;=Parametry!$G$7),1,0),0)</f>
        <v>0</v>
      </c>
      <c r="O144" s="13">
        <f>IF(C144="",IF(COUNTA(D144:J144)&gt;0,1,0),IF(OR(COUNTIFS($C$9:$C$1008,C144)&lt;&gt;1,NOT(ISNUMBER(D144)),NOT(ISNUMBER(I144)),L144="",AND(F144&lt;&gt;"",COUNTIFS(Umowy!$C$9:$C$108,F144,Umowy!$D$9:$D$108,L144)&lt;&gt;1)),1,0))</f>
        <v>0</v>
      </c>
      <c r="P144" s="7" t="str">
        <f t="shared" si="7"/>
        <v/>
      </c>
      <c r="Q144" s="7" t="str">
        <f t="shared" si="8"/>
        <v/>
      </c>
    </row>
    <row r="145" spans="1:17" ht="24" customHeight="1">
      <c r="A145" s="7"/>
      <c r="B145" s="7"/>
      <c r="C145" s="3"/>
      <c r="D145" s="2"/>
      <c r="E145" s="3"/>
      <c r="F145" s="3"/>
      <c r="G145" s="3"/>
      <c r="H145" s="3"/>
      <c r="I145" s="6"/>
      <c r="J145" s="3"/>
      <c r="K145" s="7"/>
      <c r="L145" s="13" t="str">
        <f>IF(C145="","",IF(COUNTIFS(Parametry!$C$54:$C$113,E145)=1,INDEX(Parametry!$D$54:$D$113,MATCH(E145,Parametry!$C$54:$C$113,0)),""))</f>
        <v/>
      </c>
      <c r="M145" s="7">
        <f t="shared" si="6"/>
        <v>0</v>
      </c>
      <c r="N145" s="13">
        <f>IF(AND(ISNUMBER(D145),ISNUMBER(Parametry!$G$6)),IF(AND(YEAR(D145)=Parametry!$G$6,M145&lt;=Parametry!$G$7),1,0),0)</f>
        <v>0</v>
      </c>
      <c r="O145" s="13">
        <f>IF(C145="",IF(COUNTA(D145:J145)&gt;0,1,0),IF(OR(COUNTIFS($C$9:$C$1008,C145)&lt;&gt;1,NOT(ISNUMBER(D145)),NOT(ISNUMBER(I145)),L145="",AND(F145&lt;&gt;"",COUNTIFS(Umowy!$C$9:$C$108,F145,Umowy!$D$9:$D$108,L145)&lt;&gt;1)),1,0))</f>
        <v>0</v>
      </c>
      <c r="P145" s="7" t="str">
        <f t="shared" si="7"/>
        <v/>
      </c>
      <c r="Q145" s="7" t="str">
        <f t="shared" si="8"/>
        <v/>
      </c>
    </row>
    <row r="146" spans="1:17" ht="24" customHeight="1">
      <c r="A146" s="7"/>
      <c r="B146" s="7"/>
      <c r="C146" s="3"/>
      <c r="D146" s="2"/>
      <c r="E146" s="3"/>
      <c r="F146" s="3"/>
      <c r="G146" s="3"/>
      <c r="H146" s="3"/>
      <c r="I146" s="6"/>
      <c r="J146" s="3"/>
      <c r="K146" s="7"/>
      <c r="L146" s="13" t="str">
        <f>IF(C146="","",IF(COUNTIFS(Parametry!$C$54:$C$113,E146)=1,INDEX(Parametry!$D$54:$D$113,MATCH(E146,Parametry!$C$54:$C$113,0)),""))</f>
        <v/>
      </c>
      <c r="M146" s="7">
        <f t="shared" si="6"/>
        <v>0</v>
      </c>
      <c r="N146" s="13">
        <f>IF(AND(ISNUMBER(D146),ISNUMBER(Parametry!$G$6)),IF(AND(YEAR(D146)=Parametry!$G$6,M146&lt;=Parametry!$G$7),1,0),0)</f>
        <v>0</v>
      </c>
      <c r="O146" s="13">
        <f>IF(C146="",IF(COUNTA(D146:J146)&gt;0,1,0),IF(OR(COUNTIFS($C$9:$C$1008,C146)&lt;&gt;1,NOT(ISNUMBER(D146)),NOT(ISNUMBER(I146)),L146="",AND(F146&lt;&gt;"",COUNTIFS(Umowy!$C$9:$C$108,F146,Umowy!$D$9:$D$108,L146)&lt;&gt;1)),1,0))</f>
        <v>0</v>
      </c>
      <c r="P146" s="7" t="str">
        <f t="shared" si="7"/>
        <v/>
      </c>
      <c r="Q146" s="7" t="str">
        <f t="shared" si="8"/>
        <v/>
      </c>
    </row>
    <row r="147" spans="1:17" ht="24" customHeight="1">
      <c r="A147" s="7"/>
      <c r="B147" s="7"/>
      <c r="C147" s="3"/>
      <c r="D147" s="2"/>
      <c r="E147" s="3"/>
      <c r="F147" s="3"/>
      <c r="G147" s="3"/>
      <c r="H147" s="3"/>
      <c r="I147" s="6"/>
      <c r="J147" s="3"/>
      <c r="K147" s="7"/>
      <c r="L147" s="13" t="str">
        <f>IF(C147="","",IF(COUNTIFS(Parametry!$C$54:$C$113,E147)=1,INDEX(Parametry!$D$54:$D$113,MATCH(E147,Parametry!$C$54:$C$113,0)),""))</f>
        <v/>
      </c>
      <c r="M147" s="7">
        <f t="shared" si="6"/>
        <v>0</v>
      </c>
      <c r="N147" s="13">
        <f>IF(AND(ISNUMBER(D147),ISNUMBER(Parametry!$G$6)),IF(AND(YEAR(D147)=Parametry!$G$6,M147&lt;=Parametry!$G$7),1,0),0)</f>
        <v>0</v>
      </c>
      <c r="O147" s="13">
        <f>IF(C147="",IF(COUNTA(D147:J147)&gt;0,1,0),IF(OR(COUNTIFS($C$9:$C$1008,C147)&lt;&gt;1,NOT(ISNUMBER(D147)),NOT(ISNUMBER(I147)),L147="",AND(F147&lt;&gt;"",COUNTIFS(Umowy!$C$9:$C$108,F147,Umowy!$D$9:$D$108,L147)&lt;&gt;1)),1,0))</f>
        <v>0</v>
      </c>
      <c r="P147" s="7" t="str">
        <f t="shared" si="7"/>
        <v/>
      </c>
      <c r="Q147" s="7" t="str">
        <f t="shared" si="8"/>
        <v/>
      </c>
    </row>
    <row r="148" spans="1:17" ht="24" customHeight="1">
      <c r="A148" s="7"/>
      <c r="B148" s="7"/>
      <c r="C148" s="3"/>
      <c r="D148" s="2"/>
      <c r="E148" s="3"/>
      <c r="F148" s="3"/>
      <c r="G148" s="3"/>
      <c r="H148" s="3"/>
      <c r="I148" s="6"/>
      <c r="J148" s="3"/>
      <c r="K148" s="7"/>
      <c r="L148" s="13" t="str">
        <f>IF(C148="","",IF(COUNTIFS(Parametry!$C$54:$C$113,E148)=1,INDEX(Parametry!$D$54:$D$113,MATCH(E148,Parametry!$C$54:$C$113,0)),""))</f>
        <v/>
      </c>
      <c r="M148" s="7">
        <f t="shared" si="6"/>
        <v>0</v>
      </c>
      <c r="N148" s="13">
        <f>IF(AND(ISNUMBER(D148),ISNUMBER(Parametry!$G$6)),IF(AND(YEAR(D148)=Parametry!$G$6,M148&lt;=Parametry!$G$7),1,0),0)</f>
        <v>0</v>
      </c>
      <c r="O148" s="13">
        <f>IF(C148="",IF(COUNTA(D148:J148)&gt;0,1,0),IF(OR(COUNTIFS($C$9:$C$1008,C148)&lt;&gt;1,NOT(ISNUMBER(D148)),NOT(ISNUMBER(I148)),L148="",AND(F148&lt;&gt;"",COUNTIFS(Umowy!$C$9:$C$108,F148,Umowy!$D$9:$D$108,L148)&lt;&gt;1)),1,0))</f>
        <v>0</v>
      </c>
      <c r="P148" s="7" t="str">
        <f t="shared" si="7"/>
        <v/>
      </c>
      <c r="Q148" s="7" t="str">
        <f t="shared" si="8"/>
        <v/>
      </c>
    </row>
    <row r="149" spans="1:17" ht="24" customHeight="1">
      <c r="A149" s="7"/>
      <c r="B149" s="7"/>
      <c r="C149" s="3"/>
      <c r="D149" s="2"/>
      <c r="E149" s="3"/>
      <c r="F149" s="3"/>
      <c r="G149" s="3"/>
      <c r="H149" s="3"/>
      <c r="I149" s="6"/>
      <c r="J149" s="3"/>
      <c r="K149" s="7"/>
      <c r="L149" s="13" t="str">
        <f>IF(C149="","",IF(COUNTIFS(Parametry!$C$54:$C$113,E149)=1,INDEX(Parametry!$D$54:$D$113,MATCH(E149,Parametry!$C$54:$C$113,0)),""))</f>
        <v/>
      </c>
      <c r="M149" s="7">
        <f t="shared" si="6"/>
        <v>0</v>
      </c>
      <c r="N149" s="13">
        <f>IF(AND(ISNUMBER(D149),ISNUMBER(Parametry!$G$6)),IF(AND(YEAR(D149)=Parametry!$G$6,M149&lt;=Parametry!$G$7),1,0),0)</f>
        <v>0</v>
      </c>
      <c r="O149" s="13">
        <f>IF(C149="",IF(COUNTA(D149:J149)&gt;0,1,0),IF(OR(COUNTIFS($C$9:$C$1008,C149)&lt;&gt;1,NOT(ISNUMBER(D149)),NOT(ISNUMBER(I149)),L149="",AND(F149&lt;&gt;"",COUNTIFS(Umowy!$C$9:$C$108,F149,Umowy!$D$9:$D$108,L149)&lt;&gt;1)),1,0))</f>
        <v>0</v>
      </c>
      <c r="P149" s="7" t="str">
        <f t="shared" si="7"/>
        <v/>
      </c>
      <c r="Q149" s="7" t="str">
        <f t="shared" si="8"/>
        <v/>
      </c>
    </row>
    <row r="150" spans="1:17" ht="24" customHeight="1">
      <c r="A150" s="7"/>
      <c r="B150" s="7"/>
      <c r="C150" s="3"/>
      <c r="D150" s="2"/>
      <c r="E150" s="3"/>
      <c r="F150" s="3"/>
      <c r="G150" s="3"/>
      <c r="H150" s="3"/>
      <c r="I150" s="6"/>
      <c r="J150" s="3"/>
      <c r="K150" s="7"/>
      <c r="L150" s="13" t="str">
        <f>IF(C150="","",IF(COUNTIFS(Parametry!$C$54:$C$113,E150)=1,INDEX(Parametry!$D$54:$D$113,MATCH(E150,Parametry!$C$54:$C$113,0)),""))</f>
        <v/>
      </c>
      <c r="M150" s="7">
        <f t="shared" si="6"/>
        <v>0</v>
      </c>
      <c r="N150" s="13">
        <f>IF(AND(ISNUMBER(D150),ISNUMBER(Parametry!$G$6)),IF(AND(YEAR(D150)=Parametry!$G$6,M150&lt;=Parametry!$G$7),1,0),0)</f>
        <v>0</v>
      </c>
      <c r="O150" s="13">
        <f>IF(C150="",IF(COUNTA(D150:J150)&gt;0,1,0),IF(OR(COUNTIFS($C$9:$C$1008,C150)&lt;&gt;1,NOT(ISNUMBER(D150)),NOT(ISNUMBER(I150)),L150="",AND(F150&lt;&gt;"",COUNTIFS(Umowy!$C$9:$C$108,F150,Umowy!$D$9:$D$108,L150)&lt;&gt;1)),1,0))</f>
        <v>0</v>
      </c>
      <c r="P150" s="7" t="str">
        <f t="shared" si="7"/>
        <v/>
      </c>
      <c r="Q150" s="7" t="str">
        <f t="shared" si="8"/>
        <v/>
      </c>
    </row>
    <row r="151" spans="1:17" ht="24" customHeight="1">
      <c r="A151" s="7"/>
      <c r="B151" s="7"/>
      <c r="C151" s="3"/>
      <c r="D151" s="2"/>
      <c r="E151" s="3"/>
      <c r="F151" s="3"/>
      <c r="G151" s="3"/>
      <c r="H151" s="3"/>
      <c r="I151" s="6"/>
      <c r="J151" s="3"/>
      <c r="K151" s="7"/>
      <c r="L151" s="13" t="str">
        <f>IF(C151="","",IF(COUNTIFS(Parametry!$C$54:$C$113,E151)=1,INDEX(Parametry!$D$54:$D$113,MATCH(E151,Parametry!$C$54:$C$113,0)),""))</f>
        <v/>
      </c>
      <c r="M151" s="7">
        <f t="shared" si="6"/>
        <v>0</v>
      </c>
      <c r="N151" s="13">
        <f>IF(AND(ISNUMBER(D151),ISNUMBER(Parametry!$G$6)),IF(AND(YEAR(D151)=Parametry!$G$6,M151&lt;=Parametry!$G$7),1,0),0)</f>
        <v>0</v>
      </c>
      <c r="O151" s="13">
        <f>IF(C151="",IF(COUNTA(D151:J151)&gt;0,1,0),IF(OR(COUNTIFS($C$9:$C$1008,C151)&lt;&gt;1,NOT(ISNUMBER(D151)),NOT(ISNUMBER(I151)),L151="",AND(F151&lt;&gt;"",COUNTIFS(Umowy!$C$9:$C$108,F151,Umowy!$D$9:$D$108,L151)&lt;&gt;1)),1,0))</f>
        <v>0</v>
      </c>
      <c r="P151" s="7" t="str">
        <f t="shared" si="7"/>
        <v/>
      </c>
      <c r="Q151" s="7" t="str">
        <f t="shared" si="8"/>
        <v/>
      </c>
    </row>
    <row r="152" spans="1:17" ht="24" customHeight="1">
      <c r="A152" s="7"/>
      <c r="B152" s="7"/>
      <c r="C152" s="3"/>
      <c r="D152" s="2"/>
      <c r="E152" s="3"/>
      <c r="F152" s="3"/>
      <c r="G152" s="3"/>
      <c r="H152" s="3"/>
      <c r="I152" s="6"/>
      <c r="J152" s="3"/>
      <c r="K152" s="7"/>
      <c r="L152" s="13" t="str">
        <f>IF(C152="","",IF(COUNTIFS(Parametry!$C$54:$C$113,E152)=1,INDEX(Parametry!$D$54:$D$113,MATCH(E152,Parametry!$C$54:$C$113,0)),""))</f>
        <v/>
      </c>
      <c r="M152" s="7">
        <f t="shared" si="6"/>
        <v>0</v>
      </c>
      <c r="N152" s="13">
        <f>IF(AND(ISNUMBER(D152),ISNUMBER(Parametry!$G$6)),IF(AND(YEAR(D152)=Parametry!$G$6,M152&lt;=Parametry!$G$7),1,0),0)</f>
        <v>0</v>
      </c>
      <c r="O152" s="13">
        <f>IF(C152="",IF(COUNTA(D152:J152)&gt;0,1,0),IF(OR(COUNTIFS($C$9:$C$1008,C152)&lt;&gt;1,NOT(ISNUMBER(D152)),NOT(ISNUMBER(I152)),L152="",AND(F152&lt;&gt;"",COUNTIFS(Umowy!$C$9:$C$108,F152,Umowy!$D$9:$D$108,L152)&lt;&gt;1)),1,0))</f>
        <v>0</v>
      </c>
      <c r="P152" s="7" t="str">
        <f t="shared" si="7"/>
        <v/>
      </c>
      <c r="Q152" s="7" t="str">
        <f t="shared" si="8"/>
        <v/>
      </c>
    </row>
    <row r="153" spans="1:17" ht="24" customHeight="1">
      <c r="A153" s="7"/>
      <c r="B153" s="7"/>
      <c r="C153" s="3"/>
      <c r="D153" s="2"/>
      <c r="E153" s="3"/>
      <c r="F153" s="3"/>
      <c r="G153" s="3"/>
      <c r="H153" s="3"/>
      <c r="I153" s="6"/>
      <c r="J153" s="3"/>
      <c r="K153" s="7"/>
      <c r="L153" s="13" t="str">
        <f>IF(C153="","",IF(COUNTIFS(Parametry!$C$54:$C$113,E153)=1,INDEX(Parametry!$D$54:$D$113,MATCH(E153,Parametry!$C$54:$C$113,0)),""))</f>
        <v/>
      </c>
      <c r="M153" s="7">
        <f t="shared" si="6"/>
        <v>0</v>
      </c>
      <c r="N153" s="13">
        <f>IF(AND(ISNUMBER(D153),ISNUMBER(Parametry!$G$6)),IF(AND(YEAR(D153)=Parametry!$G$6,M153&lt;=Parametry!$G$7),1,0),0)</f>
        <v>0</v>
      </c>
      <c r="O153" s="13">
        <f>IF(C153="",IF(COUNTA(D153:J153)&gt;0,1,0),IF(OR(COUNTIFS($C$9:$C$1008,C153)&lt;&gt;1,NOT(ISNUMBER(D153)),NOT(ISNUMBER(I153)),L153="",AND(F153&lt;&gt;"",COUNTIFS(Umowy!$C$9:$C$108,F153,Umowy!$D$9:$D$108,L153)&lt;&gt;1)),1,0))</f>
        <v>0</v>
      </c>
      <c r="P153" s="7" t="str">
        <f t="shared" si="7"/>
        <v/>
      </c>
      <c r="Q153" s="7" t="str">
        <f t="shared" si="8"/>
        <v/>
      </c>
    </row>
    <row r="154" spans="1:17" ht="24" customHeight="1">
      <c r="A154" s="7"/>
      <c r="B154" s="7"/>
      <c r="C154" s="3"/>
      <c r="D154" s="2"/>
      <c r="E154" s="3"/>
      <c r="F154" s="3"/>
      <c r="G154" s="3"/>
      <c r="H154" s="3"/>
      <c r="I154" s="6"/>
      <c r="J154" s="3"/>
      <c r="K154" s="7"/>
      <c r="L154" s="13" t="str">
        <f>IF(C154="","",IF(COUNTIFS(Parametry!$C$54:$C$113,E154)=1,INDEX(Parametry!$D$54:$D$113,MATCH(E154,Parametry!$C$54:$C$113,0)),""))</f>
        <v/>
      </c>
      <c r="M154" s="7">
        <f t="shared" si="6"/>
        <v>0</v>
      </c>
      <c r="N154" s="13">
        <f>IF(AND(ISNUMBER(D154),ISNUMBER(Parametry!$G$6)),IF(AND(YEAR(D154)=Parametry!$G$6,M154&lt;=Parametry!$G$7),1,0),0)</f>
        <v>0</v>
      </c>
      <c r="O154" s="13">
        <f>IF(C154="",IF(COUNTA(D154:J154)&gt;0,1,0),IF(OR(COUNTIFS($C$9:$C$1008,C154)&lt;&gt;1,NOT(ISNUMBER(D154)),NOT(ISNUMBER(I154)),L154="",AND(F154&lt;&gt;"",COUNTIFS(Umowy!$C$9:$C$108,F154,Umowy!$D$9:$D$108,L154)&lt;&gt;1)),1,0))</f>
        <v>0</v>
      </c>
      <c r="P154" s="7" t="str">
        <f t="shared" si="7"/>
        <v/>
      </c>
      <c r="Q154" s="7" t="str">
        <f t="shared" si="8"/>
        <v/>
      </c>
    </row>
    <row r="155" spans="1:17" ht="24" customHeight="1">
      <c r="A155" s="7"/>
      <c r="B155" s="7"/>
      <c r="C155" s="3"/>
      <c r="D155" s="2"/>
      <c r="E155" s="3"/>
      <c r="F155" s="3"/>
      <c r="G155" s="3"/>
      <c r="H155" s="3"/>
      <c r="I155" s="6"/>
      <c r="J155" s="3"/>
      <c r="K155" s="7"/>
      <c r="L155" s="13" t="str">
        <f>IF(C155="","",IF(COUNTIFS(Parametry!$C$54:$C$113,E155)=1,INDEX(Parametry!$D$54:$D$113,MATCH(E155,Parametry!$C$54:$C$113,0)),""))</f>
        <v/>
      </c>
      <c r="M155" s="7">
        <f t="shared" si="6"/>
        <v>0</v>
      </c>
      <c r="N155" s="13">
        <f>IF(AND(ISNUMBER(D155),ISNUMBER(Parametry!$G$6)),IF(AND(YEAR(D155)=Parametry!$G$6,M155&lt;=Parametry!$G$7),1,0),0)</f>
        <v>0</v>
      </c>
      <c r="O155" s="13">
        <f>IF(C155="",IF(COUNTA(D155:J155)&gt;0,1,0),IF(OR(COUNTIFS($C$9:$C$1008,C155)&lt;&gt;1,NOT(ISNUMBER(D155)),NOT(ISNUMBER(I155)),L155="",AND(F155&lt;&gt;"",COUNTIFS(Umowy!$C$9:$C$108,F155,Umowy!$D$9:$D$108,L155)&lt;&gt;1)),1,0))</f>
        <v>0</v>
      </c>
      <c r="P155" s="7" t="str">
        <f t="shared" si="7"/>
        <v/>
      </c>
      <c r="Q155" s="7" t="str">
        <f t="shared" si="8"/>
        <v/>
      </c>
    </row>
    <row r="156" spans="1:17" ht="24" customHeight="1">
      <c r="A156" s="7"/>
      <c r="B156" s="7"/>
      <c r="C156" s="3"/>
      <c r="D156" s="2"/>
      <c r="E156" s="3"/>
      <c r="F156" s="3"/>
      <c r="G156" s="3"/>
      <c r="H156" s="3"/>
      <c r="I156" s="6"/>
      <c r="J156" s="3"/>
      <c r="K156" s="7"/>
      <c r="L156" s="13" t="str">
        <f>IF(C156="","",IF(COUNTIFS(Parametry!$C$54:$C$113,E156)=1,INDEX(Parametry!$D$54:$D$113,MATCH(E156,Parametry!$C$54:$C$113,0)),""))</f>
        <v/>
      </c>
      <c r="M156" s="7">
        <f t="shared" si="6"/>
        <v>0</v>
      </c>
      <c r="N156" s="13">
        <f>IF(AND(ISNUMBER(D156),ISNUMBER(Parametry!$G$6)),IF(AND(YEAR(D156)=Parametry!$G$6,M156&lt;=Parametry!$G$7),1,0),0)</f>
        <v>0</v>
      </c>
      <c r="O156" s="13">
        <f>IF(C156="",IF(COUNTA(D156:J156)&gt;0,1,0),IF(OR(COUNTIFS($C$9:$C$1008,C156)&lt;&gt;1,NOT(ISNUMBER(D156)),NOT(ISNUMBER(I156)),L156="",AND(F156&lt;&gt;"",COUNTIFS(Umowy!$C$9:$C$108,F156,Umowy!$D$9:$D$108,L156)&lt;&gt;1)),1,0))</f>
        <v>0</v>
      </c>
      <c r="P156" s="7" t="str">
        <f t="shared" si="7"/>
        <v/>
      </c>
      <c r="Q156" s="7" t="str">
        <f t="shared" si="8"/>
        <v/>
      </c>
    </row>
    <row r="157" spans="1:17" ht="24" customHeight="1">
      <c r="A157" s="7"/>
      <c r="B157" s="7"/>
      <c r="C157" s="3"/>
      <c r="D157" s="2"/>
      <c r="E157" s="3"/>
      <c r="F157" s="3"/>
      <c r="G157" s="3"/>
      <c r="H157" s="3"/>
      <c r="I157" s="6"/>
      <c r="J157" s="3"/>
      <c r="K157" s="7"/>
      <c r="L157" s="13" t="str">
        <f>IF(C157="","",IF(COUNTIFS(Parametry!$C$54:$C$113,E157)=1,INDEX(Parametry!$D$54:$D$113,MATCH(E157,Parametry!$C$54:$C$113,0)),""))</f>
        <v/>
      </c>
      <c r="M157" s="7">
        <f t="shared" si="6"/>
        <v>0</v>
      </c>
      <c r="N157" s="13">
        <f>IF(AND(ISNUMBER(D157),ISNUMBER(Parametry!$G$6)),IF(AND(YEAR(D157)=Parametry!$G$6,M157&lt;=Parametry!$G$7),1,0),0)</f>
        <v>0</v>
      </c>
      <c r="O157" s="13">
        <f>IF(C157="",IF(COUNTA(D157:J157)&gt;0,1,0),IF(OR(COUNTIFS($C$9:$C$1008,C157)&lt;&gt;1,NOT(ISNUMBER(D157)),NOT(ISNUMBER(I157)),L157="",AND(F157&lt;&gt;"",COUNTIFS(Umowy!$C$9:$C$108,F157,Umowy!$D$9:$D$108,L157)&lt;&gt;1)),1,0))</f>
        <v>0</v>
      </c>
      <c r="P157" s="7" t="str">
        <f t="shared" si="7"/>
        <v/>
      </c>
      <c r="Q157" s="7" t="str">
        <f t="shared" si="8"/>
        <v/>
      </c>
    </row>
    <row r="158" spans="1:17" ht="24" customHeight="1">
      <c r="A158" s="7"/>
      <c r="B158" s="7"/>
      <c r="C158" s="3"/>
      <c r="D158" s="2"/>
      <c r="E158" s="3"/>
      <c r="F158" s="3"/>
      <c r="G158" s="3"/>
      <c r="H158" s="3"/>
      <c r="I158" s="6"/>
      <c r="J158" s="3"/>
      <c r="K158" s="7"/>
      <c r="L158" s="13" t="str">
        <f>IF(C158="","",IF(COUNTIFS(Parametry!$C$54:$C$113,E158)=1,INDEX(Parametry!$D$54:$D$113,MATCH(E158,Parametry!$C$54:$C$113,0)),""))</f>
        <v/>
      </c>
      <c r="M158" s="7">
        <f t="shared" si="6"/>
        <v>0</v>
      </c>
      <c r="N158" s="13">
        <f>IF(AND(ISNUMBER(D158),ISNUMBER(Parametry!$G$6)),IF(AND(YEAR(D158)=Parametry!$G$6,M158&lt;=Parametry!$G$7),1,0),0)</f>
        <v>0</v>
      </c>
      <c r="O158" s="13">
        <f>IF(C158="",IF(COUNTA(D158:J158)&gt;0,1,0),IF(OR(COUNTIFS($C$9:$C$1008,C158)&lt;&gt;1,NOT(ISNUMBER(D158)),NOT(ISNUMBER(I158)),L158="",AND(F158&lt;&gt;"",COUNTIFS(Umowy!$C$9:$C$108,F158,Umowy!$D$9:$D$108,L158)&lt;&gt;1)),1,0))</f>
        <v>0</v>
      </c>
      <c r="P158" s="7" t="str">
        <f t="shared" si="7"/>
        <v/>
      </c>
      <c r="Q158" s="7" t="str">
        <f t="shared" si="8"/>
        <v/>
      </c>
    </row>
    <row r="159" spans="1:17" ht="24" customHeight="1">
      <c r="A159" s="7"/>
      <c r="B159" s="7"/>
      <c r="C159" s="3"/>
      <c r="D159" s="2"/>
      <c r="E159" s="3"/>
      <c r="F159" s="3"/>
      <c r="G159" s="3"/>
      <c r="H159" s="3"/>
      <c r="I159" s="6"/>
      <c r="J159" s="3"/>
      <c r="K159" s="7"/>
      <c r="L159" s="13" t="str">
        <f>IF(C159="","",IF(COUNTIFS(Parametry!$C$54:$C$113,E159)=1,INDEX(Parametry!$D$54:$D$113,MATCH(E159,Parametry!$C$54:$C$113,0)),""))</f>
        <v/>
      </c>
      <c r="M159" s="7">
        <f t="shared" si="6"/>
        <v>0</v>
      </c>
      <c r="N159" s="13">
        <f>IF(AND(ISNUMBER(D159),ISNUMBER(Parametry!$G$6)),IF(AND(YEAR(D159)=Parametry!$G$6,M159&lt;=Parametry!$G$7),1,0),0)</f>
        <v>0</v>
      </c>
      <c r="O159" s="13">
        <f>IF(C159="",IF(COUNTA(D159:J159)&gt;0,1,0),IF(OR(COUNTIFS($C$9:$C$1008,C159)&lt;&gt;1,NOT(ISNUMBER(D159)),NOT(ISNUMBER(I159)),L159="",AND(F159&lt;&gt;"",COUNTIFS(Umowy!$C$9:$C$108,F159,Umowy!$D$9:$D$108,L159)&lt;&gt;1)),1,0))</f>
        <v>0</v>
      </c>
      <c r="P159" s="7" t="str">
        <f t="shared" si="7"/>
        <v/>
      </c>
      <c r="Q159" s="7" t="str">
        <f t="shared" si="8"/>
        <v/>
      </c>
    </row>
    <row r="160" spans="1:17" ht="24" customHeight="1">
      <c r="A160" s="7"/>
      <c r="B160" s="7"/>
      <c r="C160" s="3"/>
      <c r="D160" s="2"/>
      <c r="E160" s="3"/>
      <c r="F160" s="3"/>
      <c r="G160" s="3"/>
      <c r="H160" s="3"/>
      <c r="I160" s="6"/>
      <c r="J160" s="3"/>
      <c r="K160" s="7"/>
      <c r="L160" s="13" t="str">
        <f>IF(C160="","",IF(COUNTIFS(Parametry!$C$54:$C$113,E160)=1,INDEX(Parametry!$D$54:$D$113,MATCH(E160,Parametry!$C$54:$C$113,0)),""))</f>
        <v/>
      </c>
      <c r="M160" s="7">
        <f t="shared" si="6"/>
        <v>0</v>
      </c>
      <c r="N160" s="13">
        <f>IF(AND(ISNUMBER(D160),ISNUMBER(Parametry!$G$6)),IF(AND(YEAR(D160)=Parametry!$G$6,M160&lt;=Parametry!$G$7),1,0),0)</f>
        <v>0</v>
      </c>
      <c r="O160" s="13">
        <f>IF(C160="",IF(COUNTA(D160:J160)&gt;0,1,0),IF(OR(COUNTIFS($C$9:$C$1008,C160)&lt;&gt;1,NOT(ISNUMBER(D160)),NOT(ISNUMBER(I160)),L160="",AND(F160&lt;&gt;"",COUNTIFS(Umowy!$C$9:$C$108,F160,Umowy!$D$9:$D$108,L160)&lt;&gt;1)),1,0))</f>
        <v>0</v>
      </c>
      <c r="P160" s="7" t="str">
        <f t="shared" si="7"/>
        <v/>
      </c>
      <c r="Q160" s="7" t="str">
        <f t="shared" si="8"/>
        <v/>
      </c>
    </row>
    <row r="161" spans="1:17" ht="24" customHeight="1">
      <c r="A161" s="7"/>
      <c r="B161" s="7"/>
      <c r="C161" s="3"/>
      <c r="D161" s="2"/>
      <c r="E161" s="3"/>
      <c r="F161" s="3"/>
      <c r="G161" s="3"/>
      <c r="H161" s="3"/>
      <c r="I161" s="6"/>
      <c r="J161" s="3"/>
      <c r="K161" s="7"/>
      <c r="L161" s="13" t="str">
        <f>IF(C161="","",IF(COUNTIFS(Parametry!$C$54:$C$113,E161)=1,INDEX(Parametry!$D$54:$D$113,MATCH(E161,Parametry!$C$54:$C$113,0)),""))</f>
        <v/>
      </c>
      <c r="M161" s="7">
        <f t="shared" si="6"/>
        <v>0</v>
      </c>
      <c r="N161" s="13">
        <f>IF(AND(ISNUMBER(D161),ISNUMBER(Parametry!$G$6)),IF(AND(YEAR(D161)=Parametry!$G$6,M161&lt;=Parametry!$G$7),1,0),0)</f>
        <v>0</v>
      </c>
      <c r="O161" s="13">
        <f>IF(C161="",IF(COUNTA(D161:J161)&gt;0,1,0),IF(OR(COUNTIFS($C$9:$C$1008,C161)&lt;&gt;1,NOT(ISNUMBER(D161)),NOT(ISNUMBER(I161)),L161="",AND(F161&lt;&gt;"",COUNTIFS(Umowy!$C$9:$C$108,F161,Umowy!$D$9:$D$108,L161)&lt;&gt;1)),1,0))</f>
        <v>0</v>
      </c>
      <c r="P161" s="7" t="str">
        <f t="shared" si="7"/>
        <v/>
      </c>
      <c r="Q161" s="7" t="str">
        <f t="shared" si="8"/>
        <v/>
      </c>
    </row>
    <row r="162" spans="1:17" ht="24" customHeight="1">
      <c r="A162" s="7"/>
      <c r="B162" s="7"/>
      <c r="C162" s="3"/>
      <c r="D162" s="2"/>
      <c r="E162" s="3"/>
      <c r="F162" s="3"/>
      <c r="G162" s="3"/>
      <c r="H162" s="3"/>
      <c r="I162" s="6"/>
      <c r="J162" s="3"/>
      <c r="K162" s="7"/>
      <c r="L162" s="13" t="str">
        <f>IF(C162="","",IF(COUNTIFS(Parametry!$C$54:$C$113,E162)=1,INDEX(Parametry!$D$54:$D$113,MATCH(E162,Parametry!$C$54:$C$113,0)),""))</f>
        <v/>
      </c>
      <c r="M162" s="7">
        <f t="shared" si="6"/>
        <v>0</v>
      </c>
      <c r="N162" s="13">
        <f>IF(AND(ISNUMBER(D162),ISNUMBER(Parametry!$G$6)),IF(AND(YEAR(D162)=Parametry!$G$6,M162&lt;=Parametry!$G$7),1,0),0)</f>
        <v>0</v>
      </c>
      <c r="O162" s="13">
        <f>IF(C162="",IF(COUNTA(D162:J162)&gt;0,1,0),IF(OR(COUNTIFS($C$9:$C$1008,C162)&lt;&gt;1,NOT(ISNUMBER(D162)),NOT(ISNUMBER(I162)),L162="",AND(F162&lt;&gt;"",COUNTIFS(Umowy!$C$9:$C$108,F162,Umowy!$D$9:$D$108,L162)&lt;&gt;1)),1,0))</f>
        <v>0</v>
      </c>
      <c r="P162" s="7" t="str">
        <f t="shared" si="7"/>
        <v/>
      </c>
      <c r="Q162" s="7" t="str">
        <f t="shared" si="8"/>
        <v/>
      </c>
    </row>
    <row r="163" spans="1:17" ht="24" customHeight="1">
      <c r="A163" s="7"/>
      <c r="B163" s="7"/>
      <c r="C163" s="3"/>
      <c r="D163" s="2"/>
      <c r="E163" s="3"/>
      <c r="F163" s="3"/>
      <c r="G163" s="3"/>
      <c r="H163" s="3"/>
      <c r="I163" s="6"/>
      <c r="J163" s="3"/>
      <c r="K163" s="7"/>
      <c r="L163" s="13" t="str">
        <f>IF(C163="","",IF(COUNTIFS(Parametry!$C$54:$C$113,E163)=1,INDEX(Parametry!$D$54:$D$113,MATCH(E163,Parametry!$C$54:$C$113,0)),""))</f>
        <v/>
      </c>
      <c r="M163" s="7">
        <f t="shared" si="6"/>
        <v>0</v>
      </c>
      <c r="N163" s="13">
        <f>IF(AND(ISNUMBER(D163),ISNUMBER(Parametry!$G$6)),IF(AND(YEAR(D163)=Parametry!$G$6,M163&lt;=Parametry!$G$7),1,0),0)</f>
        <v>0</v>
      </c>
      <c r="O163" s="13">
        <f>IF(C163="",IF(COUNTA(D163:J163)&gt;0,1,0),IF(OR(COUNTIFS($C$9:$C$1008,C163)&lt;&gt;1,NOT(ISNUMBER(D163)),NOT(ISNUMBER(I163)),L163="",AND(F163&lt;&gt;"",COUNTIFS(Umowy!$C$9:$C$108,F163,Umowy!$D$9:$D$108,L163)&lt;&gt;1)),1,0))</f>
        <v>0</v>
      </c>
      <c r="P163" s="7" t="str">
        <f t="shared" si="7"/>
        <v/>
      </c>
      <c r="Q163" s="7" t="str">
        <f t="shared" si="8"/>
        <v/>
      </c>
    </row>
    <row r="164" spans="1:17" ht="24" customHeight="1">
      <c r="A164" s="7"/>
      <c r="B164" s="7"/>
      <c r="C164" s="3"/>
      <c r="D164" s="2"/>
      <c r="E164" s="3"/>
      <c r="F164" s="3"/>
      <c r="G164" s="3"/>
      <c r="H164" s="3"/>
      <c r="I164" s="6"/>
      <c r="J164" s="3"/>
      <c r="K164" s="7"/>
      <c r="L164" s="13" t="str">
        <f>IF(C164="","",IF(COUNTIFS(Parametry!$C$54:$C$113,E164)=1,INDEX(Parametry!$D$54:$D$113,MATCH(E164,Parametry!$C$54:$C$113,0)),""))</f>
        <v/>
      </c>
      <c r="M164" s="7">
        <f t="shared" si="6"/>
        <v>0</v>
      </c>
      <c r="N164" s="13">
        <f>IF(AND(ISNUMBER(D164),ISNUMBER(Parametry!$G$6)),IF(AND(YEAR(D164)=Parametry!$G$6,M164&lt;=Parametry!$G$7),1,0),0)</f>
        <v>0</v>
      </c>
      <c r="O164" s="13">
        <f>IF(C164="",IF(COUNTA(D164:J164)&gt;0,1,0),IF(OR(COUNTIFS($C$9:$C$1008,C164)&lt;&gt;1,NOT(ISNUMBER(D164)),NOT(ISNUMBER(I164)),L164="",AND(F164&lt;&gt;"",COUNTIFS(Umowy!$C$9:$C$108,F164,Umowy!$D$9:$D$108,L164)&lt;&gt;1)),1,0))</f>
        <v>0</v>
      </c>
      <c r="P164" s="7" t="str">
        <f t="shared" si="7"/>
        <v/>
      </c>
      <c r="Q164" s="7" t="str">
        <f t="shared" si="8"/>
        <v/>
      </c>
    </row>
    <row r="165" spans="1:17" ht="24" customHeight="1">
      <c r="A165" s="7"/>
      <c r="B165" s="7"/>
      <c r="C165" s="3"/>
      <c r="D165" s="2"/>
      <c r="E165" s="3"/>
      <c r="F165" s="3"/>
      <c r="G165" s="3"/>
      <c r="H165" s="3"/>
      <c r="I165" s="6"/>
      <c r="J165" s="3"/>
      <c r="K165" s="7"/>
      <c r="L165" s="13" t="str">
        <f>IF(C165="","",IF(COUNTIFS(Parametry!$C$54:$C$113,E165)=1,INDEX(Parametry!$D$54:$D$113,MATCH(E165,Parametry!$C$54:$C$113,0)),""))</f>
        <v/>
      </c>
      <c r="M165" s="7">
        <f t="shared" si="6"/>
        <v>0</v>
      </c>
      <c r="N165" s="13">
        <f>IF(AND(ISNUMBER(D165),ISNUMBER(Parametry!$G$6)),IF(AND(YEAR(D165)=Parametry!$G$6,M165&lt;=Parametry!$G$7),1,0),0)</f>
        <v>0</v>
      </c>
      <c r="O165" s="13">
        <f>IF(C165="",IF(COUNTA(D165:J165)&gt;0,1,0),IF(OR(COUNTIFS($C$9:$C$1008,C165)&lt;&gt;1,NOT(ISNUMBER(D165)),NOT(ISNUMBER(I165)),L165="",AND(F165&lt;&gt;"",COUNTIFS(Umowy!$C$9:$C$108,F165,Umowy!$D$9:$D$108,L165)&lt;&gt;1)),1,0))</f>
        <v>0</v>
      </c>
      <c r="P165" s="7" t="str">
        <f t="shared" si="7"/>
        <v/>
      </c>
      <c r="Q165" s="7" t="str">
        <f t="shared" si="8"/>
        <v/>
      </c>
    </row>
    <row r="166" spans="1:17" ht="24" customHeight="1">
      <c r="A166" s="7"/>
      <c r="B166" s="7"/>
      <c r="C166" s="3"/>
      <c r="D166" s="2"/>
      <c r="E166" s="3"/>
      <c r="F166" s="3"/>
      <c r="G166" s="3"/>
      <c r="H166" s="3"/>
      <c r="I166" s="6"/>
      <c r="J166" s="3"/>
      <c r="K166" s="7"/>
      <c r="L166" s="13" t="str">
        <f>IF(C166="","",IF(COUNTIFS(Parametry!$C$54:$C$113,E166)=1,INDEX(Parametry!$D$54:$D$113,MATCH(E166,Parametry!$C$54:$C$113,0)),""))</f>
        <v/>
      </c>
      <c r="M166" s="7">
        <f t="shared" si="6"/>
        <v>0</v>
      </c>
      <c r="N166" s="13">
        <f>IF(AND(ISNUMBER(D166),ISNUMBER(Parametry!$G$6)),IF(AND(YEAR(D166)=Parametry!$G$6,M166&lt;=Parametry!$G$7),1,0),0)</f>
        <v>0</v>
      </c>
      <c r="O166" s="13">
        <f>IF(C166="",IF(COUNTA(D166:J166)&gt;0,1,0),IF(OR(COUNTIFS($C$9:$C$1008,C166)&lt;&gt;1,NOT(ISNUMBER(D166)),NOT(ISNUMBER(I166)),L166="",AND(F166&lt;&gt;"",COUNTIFS(Umowy!$C$9:$C$108,F166,Umowy!$D$9:$D$108,L166)&lt;&gt;1)),1,0))</f>
        <v>0</v>
      </c>
      <c r="P166" s="7" t="str">
        <f t="shared" si="7"/>
        <v/>
      </c>
      <c r="Q166" s="7" t="str">
        <f t="shared" si="8"/>
        <v/>
      </c>
    </row>
    <row r="167" spans="1:17" ht="24" customHeight="1">
      <c r="A167" s="7"/>
      <c r="B167" s="7"/>
      <c r="C167" s="3"/>
      <c r="D167" s="2"/>
      <c r="E167" s="3"/>
      <c r="F167" s="3"/>
      <c r="G167" s="3"/>
      <c r="H167" s="3"/>
      <c r="I167" s="6"/>
      <c r="J167" s="3"/>
      <c r="K167" s="7"/>
      <c r="L167" s="13" t="str">
        <f>IF(C167="","",IF(COUNTIFS(Parametry!$C$54:$C$113,E167)=1,INDEX(Parametry!$D$54:$D$113,MATCH(E167,Parametry!$C$54:$C$113,0)),""))</f>
        <v/>
      </c>
      <c r="M167" s="7">
        <f t="shared" si="6"/>
        <v>0</v>
      </c>
      <c r="N167" s="13">
        <f>IF(AND(ISNUMBER(D167),ISNUMBER(Parametry!$G$6)),IF(AND(YEAR(D167)=Parametry!$G$6,M167&lt;=Parametry!$G$7),1,0),0)</f>
        <v>0</v>
      </c>
      <c r="O167" s="13">
        <f>IF(C167="",IF(COUNTA(D167:J167)&gt;0,1,0),IF(OR(COUNTIFS($C$9:$C$1008,C167)&lt;&gt;1,NOT(ISNUMBER(D167)),NOT(ISNUMBER(I167)),L167="",AND(F167&lt;&gt;"",COUNTIFS(Umowy!$C$9:$C$108,F167,Umowy!$D$9:$D$108,L167)&lt;&gt;1)),1,0))</f>
        <v>0</v>
      </c>
      <c r="P167" s="7" t="str">
        <f t="shared" si="7"/>
        <v/>
      </c>
      <c r="Q167" s="7" t="str">
        <f t="shared" si="8"/>
        <v/>
      </c>
    </row>
    <row r="168" spans="1:17" ht="24" customHeight="1">
      <c r="A168" s="7"/>
      <c r="B168" s="7"/>
      <c r="C168" s="3"/>
      <c r="D168" s="2"/>
      <c r="E168" s="3"/>
      <c r="F168" s="3"/>
      <c r="G168" s="3"/>
      <c r="H168" s="3"/>
      <c r="I168" s="6"/>
      <c r="J168" s="3"/>
      <c r="K168" s="7"/>
      <c r="L168" s="13" t="str">
        <f>IF(C168="","",IF(COUNTIFS(Parametry!$C$54:$C$113,E168)=1,INDEX(Parametry!$D$54:$D$113,MATCH(E168,Parametry!$C$54:$C$113,0)),""))</f>
        <v/>
      </c>
      <c r="M168" s="7">
        <f t="shared" si="6"/>
        <v>0</v>
      </c>
      <c r="N168" s="13">
        <f>IF(AND(ISNUMBER(D168),ISNUMBER(Parametry!$G$6)),IF(AND(YEAR(D168)=Parametry!$G$6,M168&lt;=Parametry!$G$7),1,0),0)</f>
        <v>0</v>
      </c>
      <c r="O168" s="13">
        <f>IF(C168="",IF(COUNTA(D168:J168)&gt;0,1,0),IF(OR(COUNTIFS($C$9:$C$1008,C168)&lt;&gt;1,NOT(ISNUMBER(D168)),NOT(ISNUMBER(I168)),L168="",AND(F168&lt;&gt;"",COUNTIFS(Umowy!$C$9:$C$108,F168,Umowy!$D$9:$D$108,L168)&lt;&gt;1)),1,0))</f>
        <v>0</v>
      </c>
      <c r="P168" s="7" t="str">
        <f t="shared" si="7"/>
        <v/>
      </c>
      <c r="Q168" s="7" t="str">
        <f t="shared" si="8"/>
        <v/>
      </c>
    </row>
    <row r="169" spans="1:17" ht="24" customHeight="1">
      <c r="A169" s="7"/>
      <c r="B169" s="7"/>
      <c r="C169" s="3"/>
      <c r="D169" s="2"/>
      <c r="E169" s="3"/>
      <c r="F169" s="3"/>
      <c r="G169" s="3"/>
      <c r="H169" s="3"/>
      <c r="I169" s="6"/>
      <c r="J169" s="3"/>
      <c r="K169" s="7"/>
      <c r="L169" s="13" t="str">
        <f>IF(C169="","",IF(COUNTIFS(Parametry!$C$54:$C$113,E169)=1,INDEX(Parametry!$D$54:$D$113,MATCH(E169,Parametry!$C$54:$C$113,0)),""))</f>
        <v/>
      </c>
      <c r="M169" s="7">
        <f t="shared" si="6"/>
        <v>0</v>
      </c>
      <c r="N169" s="13">
        <f>IF(AND(ISNUMBER(D169),ISNUMBER(Parametry!$G$6)),IF(AND(YEAR(D169)=Parametry!$G$6,M169&lt;=Parametry!$G$7),1,0),0)</f>
        <v>0</v>
      </c>
      <c r="O169" s="13">
        <f>IF(C169="",IF(COUNTA(D169:J169)&gt;0,1,0),IF(OR(COUNTIFS($C$9:$C$1008,C169)&lt;&gt;1,NOT(ISNUMBER(D169)),NOT(ISNUMBER(I169)),L169="",AND(F169&lt;&gt;"",COUNTIFS(Umowy!$C$9:$C$108,F169,Umowy!$D$9:$D$108,L169)&lt;&gt;1)),1,0))</f>
        <v>0</v>
      </c>
      <c r="P169" s="7" t="str">
        <f t="shared" si="7"/>
        <v/>
      </c>
      <c r="Q169" s="7" t="str">
        <f t="shared" si="8"/>
        <v/>
      </c>
    </row>
    <row r="170" spans="1:17" ht="24" customHeight="1">
      <c r="A170" s="7"/>
      <c r="B170" s="7"/>
      <c r="C170" s="3"/>
      <c r="D170" s="2"/>
      <c r="E170" s="3"/>
      <c r="F170" s="3"/>
      <c r="G170" s="3"/>
      <c r="H170" s="3"/>
      <c r="I170" s="6"/>
      <c r="J170" s="3"/>
      <c r="K170" s="7"/>
      <c r="L170" s="13" t="str">
        <f>IF(C170="","",IF(COUNTIFS(Parametry!$C$54:$C$113,E170)=1,INDEX(Parametry!$D$54:$D$113,MATCH(E170,Parametry!$C$54:$C$113,0)),""))</f>
        <v/>
      </c>
      <c r="M170" s="7">
        <f t="shared" si="6"/>
        <v>0</v>
      </c>
      <c r="N170" s="13">
        <f>IF(AND(ISNUMBER(D170),ISNUMBER(Parametry!$G$6)),IF(AND(YEAR(D170)=Parametry!$G$6,M170&lt;=Parametry!$G$7),1,0),0)</f>
        <v>0</v>
      </c>
      <c r="O170" s="13">
        <f>IF(C170="",IF(COUNTA(D170:J170)&gt;0,1,0),IF(OR(COUNTIFS($C$9:$C$1008,C170)&lt;&gt;1,NOT(ISNUMBER(D170)),NOT(ISNUMBER(I170)),L170="",AND(F170&lt;&gt;"",COUNTIFS(Umowy!$C$9:$C$108,F170,Umowy!$D$9:$D$108,L170)&lt;&gt;1)),1,0))</f>
        <v>0</v>
      </c>
      <c r="P170" s="7" t="str">
        <f t="shared" si="7"/>
        <v/>
      </c>
      <c r="Q170" s="7" t="str">
        <f t="shared" si="8"/>
        <v/>
      </c>
    </row>
    <row r="171" spans="1:17" ht="24" customHeight="1">
      <c r="A171" s="7"/>
      <c r="B171" s="7"/>
      <c r="C171" s="3"/>
      <c r="D171" s="2"/>
      <c r="E171" s="3"/>
      <c r="F171" s="3"/>
      <c r="G171" s="3"/>
      <c r="H171" s="3"/>
      <c r="I171" s="6"/>
      <c r="J171" s="3"/>
      <c r="K171" s="7"/>
      <c r="L171" s="13" t="str">
        <f>IF(C171="","",IF(COUNTIFS(Parametry!$C$54:$C$113,E171)=1,INDEX(Parametry!$D$54:$D$113,MATCH(E171,Parametry!$C$54:$C$113,0)),""))</f>
        <v/>
      </c>
      <c r="M171" s="7">
        <f t="shared" si="6"/>
        <v>0</v>
      </c>
      <c r="N171" s="13">
        <f>IF(AND(ISNUMBER(D171),ISNUMBER(Parametry!$G$6)),IF(AND(YEAR(D171)=Parametry!$G$6,M171&lt;=Parametry!$G$7),1,0),0)</f>
        <v>0</v>
      </c>
      <c r="O171" s="13">
        <f>IF(C171="",IF(COUNTA(D171:J171)&gt;0,1,0),IF(OR(COUNTIFS($C$9:$C$1008,C171)&lt;&gt;1,NOT(ISNUMBER(D171)),NOT(ISNUMBER(I171)),L171="",AND(F171&lt;&gt;"",COUNTIFS(Umowy!$C$9:$C$108,F171,Umowy!$D$9:$D$108,L171)&lt;&gt;1)),1,0))</f>
        <v>0</v>
      </c>
      <c r="P171" s="7" t="str">
        <f t="shared" si="7"/>
        <v/>
      </c>
      <c r="Q171" s="7" t="str">
        <f t="shared" si="8"/>
        <v/>
      </c>
    </row>
    <row r="172" spans="1:17" ht="24" customHeight="1">
      <c r="A172" s="7"/>
      <c r="B172" s="7"/>
      <c r="C172" s="3"/>
      <c r="D172" s="2"/>
      <c r="E172" s="3"/>
      <c r="F172" s="3"/>
      <c r="G172" s="3"/>
      <c r="H172" s="3"/>
      <c r="I172" s="6"/>
      <c r="J172" s="3"/>
      <c r="K172" s="7"/>
      <c r="L172" s="13" t="str">
        <f>IF(C172="","",IF(COUNTIFS(Parametry!$C$54:$C$113,E172)=1,INDEX(Parametry!$D$54:$D$113,MATCH(E172,Parametry!$C$54:$C$113,0)),""))</f>
        <v/>
      </c>
      <c r="M172" s="7">
        <f t="shared" si="6"/>
        <v>0</v>
      </c>
      <c r="N172" s="13">
        <f>IF(AND(ISNUMBER(D172),ISNUMBER(Parametry!$G$6)),IF(AND(YEAR(D172)=Parametry!$G$6,M172&lt;=Parametry!$G$7),1,0),0)</f>
        <v>0</v>
      </c>
      <c r="O172" s="13">
        <f>IF(C172="",IF(COUNTA(D172:J172)&gt;0,1,0),IF(OR(COUNTIFS($C$9:$C$1008,C172)&lt;&gt;1,NOT(ISNUMBER(D172)),NOT(ISNUMBER(I172)),L172="",AND(F172&lt;&gt;"",COUNTIFS(Umowy!$C$9:$C$108,F172,Umowy!$D$9:$D$108,L172)&lt;&gt;1)),1,0))</f>
        <v>0</v>
      </c>
      <c r="P172" s="7" t="str">
        <f t="shared" si="7"/>
        <v/>
      </c>
      <c r="Q172" s="7" t="str">
        <f t="shared" si="8"/>
        <v/>
      </c>
    </row>
    <row r="173" spans="1:17" ht="24" customHeight="1">
      <c r="A173" s="7"/>
      <c r="B173" s="7"/>
      <c r="C173" s="3"/>
      <c r="D173" s="2"/>
      <c r="E173" s="3"/>
      <c r="F173" s="3"/>
      <c r="G173" s="3"/>
      <c r="H173" s="3"/>
      <c r="I173" s="6"/>
      <c r="J173" s="3"/>
      <c r="K173" s="7"/>
      <c r="L173" s="13" t="str">
        <f>IF(C173="","",IF(COUNTIFS(Parametry!$C$54:$C$113,E173)=1,INDEX(Parametry!$D$54:$D$113,MATCH(E173,Parametry!$C$54:$C$113,0)),""))</f>
        <v/>
      </c>
      <c r="M173" s="7">
        <f t="shared" si="6"/>
        <v>0</v>
      </c>
      <c r="N173" s="13">
        <f>IF(AND(ISNUMBER(D173),ISNUMBER(Parametry!$G$6)),IF(AND(YEAR(D173)=Parametry!$G$6,M173&lt;=Parametry!$G$7),1,0),0)</f>
        <v>0</v>
      </c>
      <c r="O173" s="13">
        <f>IF(C173="",IF(COUNTA(D173:J173)&gt;0,1,0),IF(OR(COUNTIFS($C$9:$C$1008,C173)&lt;&gt;1,NOT(ISNUMBER(D173)),NOT(ISNUMBER(I173)),L173="",AND(F173&lt;&gt;"",COUNTIFS(Umowy!$C$9:$C$108,F173,Umowy!$D$9:$D$108,L173)&lt;&gt;1)),1,0))</f>
        <v>0</v>
      </c>
      <c r="P173" s="7" t="str">
        <f t="shared" si="7"/>
        <v/>
      </c>
      <c r="Q173" s="7" t="str">
        <f t="shared" si="8"/>
        <v/>
      </c>
    </row>
    <row r="174" spans="1:17" ht="24" customHeight="1">
      <c r="A174" s="7"/>
      <c r="B174" s="7"/>
      <c r="C174" s="3"/>
      <c r="D174" s="2"/>
      <c r="E174" s="3"/>
      <c r="F174" s="3"/>
      <c r="G174" s="3"/>
      <c r="H174" s="3"/>
      <c r="I174" s="6"/>
      <c r="J174" s="3"/>
      <c r="K174" s="7"/>
      <c r="L174" s="13" t="str">
        <f>IF(C174="","",IF(COUNTIFS(Parametry!$C$54:$C$113,E174)=1,INDEX(Parametry!$D$54:$D$113,MATCH(E174,Parametry!$C$54:$C$113,0)),""))</f>
        <v/>
      </c>
      <c r="M174" s="7">
        <f t="shared" si="6"/>
        <v>0</v>
      </c>
      <c r="N174" s="13">
        <f>IF(AND(ISNUMBER(D174),ISNUMBER(Parametry!$G$6)),IF(AND(YEAR(D174)=Parametry!$G$6,M174&lt;=Parametry!$G$7),1,0),0)</f>
        <v>0</v>
      </c>
      <c r="O174" s="13">
        <f>IF(C174="",IF(COUNTA(D174:J174)&gt;0,1,0),IF(OR(COUNTIFS($C$9:$C$1008,C174)&lt;&gt;1,NOT(ISNUMBER(D174)),NOT(ISNUMBER(I174)),L174="",AND(F174&lt;&gt;"",COUNTIFS(Umowy!$C$9:$C$108,F174,Umowy!$D$9:$D$108,L174)&lt;&gt;1)),1,0))</f>
        <v>0</v>
      </c>
      <c r="P174" s="7" t="str">
        <f t="shared" si="7"/>
        <v/>
      </c>
      <c r="Q174" s="7" t="str">
        <f t="shared" si="8"/>
        <v/>
      </c>
    </row>
    <row r="175" spans="1:17" ht="24" customHeight="1">
      <c r="A175" s="7"/>
      <c r="B175" s="7"/>
      <c r="C175" s="3"/>
      <c r="D175" s="2"/>
      <c r="E175" s="3"/>
      <c r="F175" s="3"/>
      <c r="G175" s="3"/>
      <c r="H175" s="3"/>
      <c r="I175" s="6"/>
      <c r="J175" s="3"/>
      <c r="K175" s="7"/>
      <c r="L175" s="13" t="str">
        <f>IF(C175="","",IF(COUNTIFS(Parametry!$C$54:$C$113,E175)=1,INDEX(Parametry!$D$54:$D$113,MATCH(E175,Parametry!$C$54:$C$113,0)),""))</f>
        <v/>
      </c>
      <c r="M175" s="7">
        <f t="shared" si="6"/>
        <v>0</v>
      </c>
      <c r="N175" s="13">
        <f>IF(AND(ISNUMBER(D175),ISNUMBER(Parametry!$G$6)),IF(AND(YEAR(D175)=Parametry!$G$6,M175&lt;=Parametry!$G$7),1,0),0)</f>
        <v>0</v>
      </c>
      <c r="O175" s="13">
        <f>IF(C175="",IF(COUNTA(D175:J175)&gt;0,1,0),IF(OR(COUNTIFS($C$9:$C$1008,C175)&lt;&gt;1,NOT(ISNUMBER(D175)),NOT(ISNUMBER(I175)),L175="",AND(F175&lt;&gt;"",COUNTIFS(Umowy!$C$9:$C$108,F175,Umowy!$D$9:$D$108,L175)&lt;&gt;1)),1,0))</f>
        <v>0</v>
      </c>
      <c r="P175" s="7" t="str">
        <f t="shared" si="7"/>
        <v/>
      </c>
      <c r="Q175" s="7" t="str">
        <f t="shared" si="8"/>
        <v/>
      </c>
    </row>
    <row r="176" spans="1:17" ht="24" customHeight="1">
      <c r="A176" s="7"/>
      <c r="B176" s="7"/>
      <c r="C176" s="3"/>
      <c r="D176" s="2"/>
      <c r="E176" s="3"/>
      <c r="F176" s="3"/>
      <c r="G176" s="3"/>
      <c r="H176" s="3"/>
      <c r="I176" s="6"/>
      <c r="J176" s="3"/>
      <c r="K176" s="7"/>
      <c r="L176" s="13" t="str">
        <f>IF(C176="","",IF(COUNTIFS(Parametry!$C$54:$C$113,E176)=1,INDEX(Parametry!$D$54:$D$113,MATCH(E176,Parametry!$C$54:$C$113,0)),""))</f>
        <v/>
      </c>
      <c r="M176" s="7">
        <f t="shared" si="6"/>
        <v>0</v>
      </c>
      <c r="N176" s="13">
        <f>IF(AND(ISNUMBER(D176),ISNUMBER(Parametry!$G$6)),IF(AND(YEAR(D176)=Parametry!$G$6,M176&lt;=Parametry!$G$7),1,0),0)</f>
        <v>0</v>
      </c>
      <c r="O176" s="13">
        <f>IF(C176="",IF(COUNTA(D176:J176)&gt;0,1,0),IF(OR(COUNTIFS($C$9:$C$1008,C176)&lt;&gt;1,NOT(ISNUMBER(D176)),NOT(ISNUMBER(I176)),L176="",AND(F176&lt;&gt;"",COUNTIFS(Umowy!$C$9:$C$108,F176,Umowy!$D$9:$D$108,L176)&lt;&gt;1)),1,0))</f>
        <v>0</v>
      </c>
      <c r="P176" s="7" t="str">
        <f t="shared" si="7"/>
        <v/>
      </c>
      <c r="Q176" s="7" t="str">
        <f t="shared" si="8"/>
        <v/>
      </c>
    </row>
    <row r="177" spans="1:17" ht="24" customHeight="1">
      <c r="A177" s="7"/>
      <c r="B177" s="7"/>
      <c r="C177" s="3"/>
      <c r="D177" s="2"/>
      <c r="E177" s="3"/>
      <c r="F177" s="3"/>
      <c r="G177" s="3"/>
      <c r="H177" s="3"/>
      <c r="I177" s="6"/>
      <c r="J177" s="3"/>
      <c r="K177" s="7"/>
      <c r="L177" s="13" t="str">
        <f>IF(C177="","",IF(COUNTIFS(Parametry!$C$54:$C$113,E177)=1,INDEX(Parametry!$D$54:$D$113,MATCH(E177,Parametry!$C$54:$C$113,0)),""))</f>
        <v/>
      </c>
      <c r="M177" s="7">
        <f t="shared" si="6"/>
        <v>0</v>
      </c>
      <c r="N177" s="13">
        <f>IF(AND(ISNUMBER(D177),ISNUMBER(Parametry!$G$6)),IF(AND(YEAR(D177)=Parametry!$G$6,M177&lt;=Parametry!$G$7),1,0),0)</f>
        <v>0</v>
      </c>
      <c r="O177" s="13">
        <f>IF(C177="",IF(COUNTA(D177:J177)&gt;0,1,0),IF(OR(COUNTIFS($C$9:$C$1008,C177)&lt;&gt;1,NOT(ISNUMBER(D177)),NOT(ISNUMBER(I177)),L177="",AND(F177&lt;&gt;"",COUNTIFS(Umowy!$C$9:$C$108,F177,Umowy!$D$9:$D$108,L177)&lt;&gt;1)),1,0))</f>
        <v>0</v>
      </c>
      <c r="P177" s="7" t="str">
        <f t="shared" si="7"/>
        <v/>
      </c>
      <c r="Q177" s="7" t="str">
        <f t="shared" si="8"/>
        <v/>
      </c>
    </row>
    <row r="178" spans="1:17" ht="24" customHeight="1">
      <c r="A178" s="7"/>
      <c r="B178" s="7"/>
      <c r="C178" s="3"/>
      <c r="D178" s="2"/>
      <c r="E178" s="3"/>
      <c r="F178" s="3"/>
      <c r="G178" s="3"/>
      <c r="H178" s="3"/>
      <c r="I178" s="6"/>
      <c r="J178" s="3"/>
      <c r="K178" s="7"/>
      <c r="L178" s="13" t="str">
        <f>IF(C178="","",IF(COUNTIFS(Parametry!$C$54:$C$113,E178)=1,INDEX(Parametry!$D$54:$D$113,MATCH(E178,Parametry!$C$54:$C$113,0)),""))</f>
        <v/>
      </c>
      <c r="M178" s="7">
        <f t="shared" si="6"/>
        <v>0</v>
      </c>
      <c r="N178" s="13">
        <f>IF(AND(ISNUMBER(D178),ISNUMBER(Parametry!$G$6)),IF(AND(YEAR(D178)=Parametry!$G$6,M178&lt;=Parametry!$G$7),1,0),0)</f>
        <v>0</v>
      </c>
      <c r="O178" s="13">
        <f>IF(C178="",IF(COUNTA(D178:J178)&gt;0,1,0),IF(OR(COUNTIFS($C$9:$C$1008,C178)&lt;&gt;1,NOT(ISNUMBER(D178)),NOT(ISNUMBER(I178)),L178="",AND(F178&lt;&gt;"",COUNTIFS(Umowy!$C$9:$C$108,F178,Umowy!$D$9:$D$108,L178)&lt;&gt;1)),1,0))</f>
        <v>0</v>
      </c>
      <c r="P178" s="7" t="str">
        <f t="shared" si="7"/>
        <v/>
      </c>
      <c r="Q178" s="7" t="str">
        <f t="shared" si="8"/>
        <v/>
      </c>
    </row>
    <row r="179" spans="1:17" ht="24" customHeight="1">
      <c r="A179" s="7"/>
      <c r="B179" s="7"/>
      <c r="C179" s="3"/>
      <c r="D179" s="2"/>
      <c r="E179" s="3"/>
      <c r="F179" s="3"/>
      <c r="G179" s="3"/>
      <c r="H179" s="3"/>
      <c r="I179" s="6"/>
      <c r="J179" s="3"/>
      <c r="K179" s="7"/>
      <c r="L179" s="13" t="str">
        <f>IF(C179="","",IF(COUNTIFS(Parametry!$C$54:$C$113,E179)=1,INDEX(Parametry!$D$54:$D$113,MATCH(E179,Parametry!$C$54:$C$113,0)),""))</f>
        <v/>
      </c>
      <c r="M179" s="7">
        <f t="shared" si="6"/>
        <v>0</v>
      </c>
      <c r="N179" s="13">
        <f>IF(AND(ISNUMBER(D179),ISNUMBER(Parametry!$G$6)),IF(AND(YEAR(D179)=Parametry!$G$6,M179&lt;=Parametry!$G$7),1,0),0)</f>
        <v>0</v>
      </c>
      <c r="O179" s="13">
        <f>IF(C179="",IF(COUNTA(D179:J179)&gt;0,1,0),IF(OR(COUNTIFS($C$9:$C$1008,C179)&lt;&gt;1,NOT(ISNUMBER(D179)),NOT(ISNUMBER(I179)),L179="",AND(F179&lt;&gt;"",COUNTIFS(Umowy!$C$9:$C$108,F179,Umowy!$D$9:$D$108,L179)&lt;&gt;1)),1,0))</f>
        <v>0</v>
      </c>
      <c r="P179" s="7" t="str">
        <f t="shared" si="7"/>
        <v/>
      </c>
      <c r="Q179" s="7" t="str">
        <f t="shared" si="8"/>
        <v/>
      </c>
    </row>
    <row r="180" spans="1:17" ht="24" customHeight="1">
      <c r="A180" s="7"/>
      <c r="B180" s="7"/>
      <c r="C180" s="3"/>
      <c r="D180" s="2"/>
      <c r="E180" s="3"/>
      <c r="F180" s="3"/>
      <c r="G180" s="3"/>
      <c r="H180" s="3"/>
      <c r="I180" s="6"/>
      <c r="J180" s="3"/>
      <c r="K180" s="7"/>
      <c r="L180" s="13" t="str">
        <f>IF(C180="","",IF(COUNTIFS(Parametry!$C$54:$C$113,E180)=1,INDEX(Parametry!$D$54:$D$113,MATCH(E180,Parametry!$C$54:$C$113,0)),""))</f>
        <v/>
      </c>
      <c r="M180" s="7">
        <f t="shared" si="6"/>
        <v>0</v>
      </c>
      <c r="N180" s="13">
        <f>IF(AND(ISNUMBER(D180),ISNUMBER(Parametry!$G$6)),IF(AND(YEAR(D180)=Parametry!$G$6,M180&lt;=Parametry!$G$7),1,0),0)</f>
        <v>0</v>
      </c>
      <c r="O180" s="13">
        <f>IF(C180="",IF(COUNTA(D180:J180)&gt;0,1,0),IF(OR(COUNTIFS($C$9:$C$1008,C180)&lt;&gt;1,NOT(ISNUMBER(D180)),NOT(ISNUMBER(I180)),L180="",AND(F180&lt;&gt;"",COUNTIFS(Umowy!$C$9:$C$108,F180,Umowy!$D$9:$D$108,L180)&lt;&gt;1)),1,0))</f>
        <v>0</v>
      </c>
      <c r="P180" s="7" t="str">
        <f t="shared" si="7"/>
        <v/>
      </c>
      <c r="Q180" s="7" t="str">
        <f t="shared" si="8"/>
        <v/>
      </c>
    </row>
    <row r="181" spans="1:17" ht="24" customHeight="1">
      <c r="A181" s="7"/>
      <c r="B181" s="7"/>
      <c r="C181" s="3"/>
      <c r="D181" s="2"/>
      <c r="E181" s="3"/>
      <c r="F181" s="3"/>
      <c r="G181" s="3"/>
      <c r="H181" s="3"/>
      <c r="I181" s="6"/>
      <c r="J181" s="3"/>
      <c r="K181" s="7"/>
      <c r="L181" s="13" t="str">
        <f>IF(C181="","",IF(COUNTIFS(Parametry!$C$54:$C$113,E181)=1,INDEX(Parametry!$D$54:$D$113,MATCH(E181,Parametry!$C$54:$C$113,0)),""))</f>
        <v/>
      </c>
      <c r="M181" s="7">
        <f t="shared" si="6"/>
        <v>0</v>
      </c>
      <c r="N181" s="13">
        <f>IF(AND(ISNUMBER(D181),ISNUMBER(Parametry!$G$6)),IF(AND(YEAR(D181)=Parametry!$G$6,M181&lt;=Parametry!$G$7),1,0),0)</f>
        <v>0</v>
      </c>
      <c r="O181" s="13">
        <f>IF(C181="",IF(COUNTA(D181:J181)&gt;0,1,0),IF(OR(COUNTIFS($C$9:$C$1008,C181)&lt;&gt;1,NOT(ISNUMBER(D181)),NOT(ISNUMBER(I181)),L181="",AND(F181&lt;&gt;"",COUNTIFS(Umowy!$C$9:$C$108,F181,Umowy!$D$9:$D$108,L181)&lt;&gt;1)),1,0))</f>
        <v>0</v>
      </c>
      <c r="P181" s="7" t="str">
        <f t="shared" si="7"/>
        <v/>
      </c>
      <c r="Q181" s="7" t="str">
        <f t="shared" si="8"/>
        <v/>
      </c>
    </row>
    <row r="182" spans="1:17" ht="24" customHeight="1">
      <c r="A182" s="7"/>
      <c r="B182" s="7"/>
      <c r="C182" s="3"/>
      <c r="D182" s="2"/>
      <c r="E182" s="3"/>
      <c r="F182" s="3"/>
      <c r="G182" s="3"/>
      <c r="H182" s="3"/>
      <c r="I182" s="6"/>
      <c r="J182" s="3"/>
      <c r="K182" s="7"/>
      <c r="L182" s="13" t="str">
        <f>IF(C182="","",IF(COUNTIFS(Parametry!$C$54:$C$113,E182)=1,INDEX(Parametry!$D$54:$D$113,MATCH(E182,Parametry!$C$54:$C$113,0)),""))</f>
        <v/>
      </c>
      <c r="M182" s="7">
        <f t="shared" si="6"/>
        <v>0</v>
      </c>
      <c r="N182" s="13">
        <f>IF(AND(ISNUMBER(D182),ISNUMBER(Parametry!$G$6)),IF(AND(YEAR(D182)=Parametry!$G$6,M182&lt;=Parametry!$G$7),1,0),0)</f>
        <v>0</v>
      </c>
      <c r="O182" s="13">
        <f>IF(C182="",IF(COUNTA(D182:J182)&gt;0,1,0),IF(OR(COUNTIFS($C$9:$C$1008,C182)&lt;&gt;1,NOT(ISNUMBER(D182)),NOT(ISNUMBER(I182)),L182="",AND(F182&lt;&gt;"",COUNTIFS(Umowy!$C$9:$C$108,F182,Umowy!$D$9:$D$108,L182)&lt;&gt;1)),1,0))</f>
        <v>0</v>
      </c>
      <c r="P182" s="7" t="str">
        <f t="shared" si="7"/>
        <v/>
      </c>
      <c r="Q182" s="7" t="str">
        <f t="shared" si="8"/>
        <v/>
      </c>
    </row>
    <row r="183" spans="1:17" ht="24" customHeight="1">
      <c r="A183" s="7"/>
      <c r="B183" s="7"/>
      <c r="C183" s="3"/>
      <c r="D183" s="2"/>
      <c r="E183" s="3"/>
      <c r="F183" s="3"/>
      <c r="G183" s="3"/>
      <c r="H183" s="3"/>
      <c r="I183" s="6"/>
      <c r="J183" s="3"/>
      <c r="K183" s="7"/>
      <c r="L183" s="13" t="str">
        <f>IF(C183="","",IF(COUNTIFS(Parametry!$C$54:$C$113,E183)=1,INDEX(Parametry!$D$54:$D$113,MATCH(E183,Parametry!$C$54:$C$113,0)),""))</f>
        <v/>
      </c>
      <c r="M183" s="7">
        <f t="shared" si="6"/>
        <v>0</v>
      </c>
      <c r="N183" s="13">
        <f>IF(AND(ISNUMBER(D183),ISNUMBER(Parametry!$G$6)),IF(AND(YEAR(D183)=Parametry!$G$6,M183&lt;=Parametry!$G$7),1,0),0)</f>
        <v>0</v>
      </c>
      <c r="O183" s="13">
        <f>IF(C183="",IF(COUNTA(D183:J183)&gt;0,1,0),IF(OR(COUNTIFS($C$9:$C$1008,C183)&lt;&gt;1,NOT(ISNUMBER(D183)),NOT(ISNUMBER(I183)),L183="",AND(F183&lt;&gt;"",COUNTIFS(Umowy!$C$9:$C$108,F183,Umowy!$D$9:$D$108,L183)&lt;&gt;1)),1,0))</f>
        <v>0</v>
      </c>
      <c r="P183" s="7" t="str">
        <f t="shared" si="7"/>
        <v/>
      </c>
      <c r="Q183" s="7" t="str">
        <f t="shared" si="8"/>
        <v/>
      </c>
    </row>
    <row r="184" spans="1:17" ht="24" customHeight="1">
      <c r="A184" s="7"/>
      <c r="B184" s="7"/>
      <c r="C184" s="3"/>
      <c r="D184" s="2"/>
      <c r="E184" s="3"/>
      <c r="F184" s="3"/>
      <c r="G184" s="3"/>
      <c r="H184" s="3"/>
      <c r="I184" s="6"/>
      <c r="J184" s="3"/>
      <c r="K184" s="7"/>
      <c r="L184" s="13" t="str">
        <f>IF(C184="","",IF(COUNTIFS(Parametry!$C$54:$C$113,E184)=1,INDEX(Parametry!$D$54:$D$113,MATCH(E184,Parametry!$C$54:$C$113,0)),""))</f>
        <v/>
      </c>
      <c r="M184" s="7">
        <f t="shared" si="6"/>
        <v>0</v>
      </c>
      <c r="N184" s="13">
        <f>IF(AND(ISNUMBER(D184),ISNUMBER(Parametry!$G$6)),IF(AND(YEAR(D184)=Parametry!$G$6,M184&lt;=Parametry!$G$7),1,0),0)</f>
        <v>0</v>
      </c>
      <c r="O184" s="13">
        <f>IF(C184="",IF(COUNTA(D184:J184)&gt;0,1,0),IF(OR(COUNTIFS($C$9:$C$1008,C184)&lt;&gt;1,NOT(ISNUMBER(D184)),NOT(ISNUMBER(I184)),L184="",AND(F184&lt;&gt;"",COUNTIFS(Umowy!$C$9:$C$108,F184,Umowy!$D$9:$D$108,L184)&lt;&gt;1)),1,0))</f>
        <v>0</v>
      </c>
      <c r="P184" s="7" t="str">
        <f t="shared" si="7"/>
        <v/>
      </c>
      <c r="Q184" s="7" t="str">
        <f t="shared" si="8"/>
        <v/>
      </c>
    </row>
    <row r="185" spans="1:17" ht="24" customHeight="1">
      <c r="A185" s="7"/>
      <c r="B185" s="7"/>
      <c r="C185" s="3"/>
      <c r="D185" s="2"/>
      <c r="E185" s="3"/>
      <c r="F185" s="3"/>
      <c r="G185" s="3"/>
      <c r="H185" s="3"/>
      <c r="I185" s="6"/>
      <c r="J185" s="3"/>
      <c r="K185" s="7"/>
      <c r="L185" s="13" t="str">
        <f>IF(C185="","",IF(COUNTIFS(Parametry!$C$54:$C$113,E185)=1,INDEX(Parametry!$D$54:$D$113,MATCH(E185,Parametry!$C$54:$C$113,0)),""))</f>
        <v/>
      </c>
      <c r="M185" s="7">
        <f t="shared" si="6"/>
        <v>0</v>
      </c>
      <c r="N185" s="13">
        <f>IF(AND(ISNUMBER(D185),ISNUMBER(Parametry!$G$6)),IF(AND(YEAR(D185)=Parametry!$G$6,M185&lt;=Parametry!$G$7),1,0),0)</f>
        <v>0</v>
      </c>
      <c r="O185" s="13">
        <f>IF(C185="",IF(COUNTA(D185:J185)&gt;0,1,0),IF(OR(COUNTIFS($C$9:$C$1008,C185)&lt;&gt;1,NOT(ISNUMBER(D185)),NOT(ISNUMBER(I185)),L185="",AND(F185&lt;&gt;"",COUNTIFS(Umowy!$C$9:$C$108,F185,Umowy!$D$9:$D$108,L185)&lt;&gt;1)),1,0))</f>
        <v>0</v>
      </c>
      <c r="P185" s="7" t="str">
        <f t="shared" si="7"/>
        <v/>
      </c>
      <c r="Q185" s="7" t="str">
        <f t="shared" si="8"/>
        <v/>
      </c>
    </row>
    <row r="186" spans="1:17" ht="24" customHeight="1">
      <c r="A186" s="7"/>
      <c r="B186" s="7"/>
      <c r="C186" s="3"/>
      <c r="D186" s="2"/>
      <c r="E186" s="3"/>
      <c r="F186" s="3"/>
      <c r="G186" s="3"/>
      <c r="H186" s="3"/>
      <c r="I186" s="6"/>
      <c r="J186" s="3"/>
      <c r="K186" s="7"/>
      <c r="L186" s="13" t="str">
        <f>IF(C186="","",IF(COUNTIFS(Parametry!$C$54:$C$113,E186)=1,INDEX(Parametry!$D$54:$D$113,MATCH(E186,Parametry!$C$54:$C$113,0)),""))</f>
        <v/>
      </c>
      <c r="M186" s="7">
        <f t="shared" si="6"/>
        <v>0</v>
      </c>
      <c r="N186" s="13">
        <f>IF(AND(ISNUMBER(D186),ISNUMBER(Parametry!$G$6)),IF(AND(YEAR(D186)=Parametry!$G$6,M186&lt;=Parametry!$G$7),1,0),0)</f>
        <v>0</v>
      </c>
      <c r="O186" s="13">
        <f>IF(C186="",IF(COUNTA(D186:J186)&gt;0,1,0),IF(OR(COUNTIFS($C$9:$C$1008,C186)&lt;&gt;1,NOT(ISNUMBER(D186)),NOT(ISNUMBER(I186)),L186="",AND(F186&lt;&gt;"",COUNTIFS(Umowy!$C$9:$C$108,F186,Umowy!$D$9:$D$108,L186)&lt;&gt;1)),1,0))</f>
        <v>0</v>
      </c>
      <c r="P186" s="7" t="str">
        <f t="shared" si="7"/>
        <v/>
      </c>
      <c r="Q186" s="7" t="str">
        <f t="shared" si="8"/>
        <v/>
      </c>
    </row>
    <row r="187" spans="1:17" ht="24" customHeight="1">
      <c r="A187" s="7"/>
      <c r="B187" s="7"/>
      <c r="C187" s="3"/>
      <c r="D187" s="2"/>
      <c r="E187" s="3"/>
      <c r="F187" s="3"/>
      <c r="G187" s="3"/>
      <c r="H187" s="3"/>
      <c r="I187" s="6"/>
      <c r="J187" s="3"/>
      <c r="K187" s="7"/>
      <c r="L187" s="13" t="str">
        <f>IF(C187="","",IF(COUNTIFS(Parametry!$C$54:$C$113,E187)=1,INDEX(Parametry!$D$54:$D$113,MATCH(E187,Parametry!$C$54:$C$113,0)),""))</f>
        <v/>
      </c>
      <c r="M187" s="7">
        <f t="shared" si="6"/>
        <v>0</v>
      </c>
      <c r="N187" s="13">
        <f>IF(AND(ISNUMBER(D187),ISNUMBER(Parametry!$G$6)),IF(AND(YEAR(D187)=Parametry!$G$6,M187&lt;=Parametry!$G$7),1,0),0)</f>
        <v>0</v>
      </c>
      <c r="O187" s="13">
        <f>IF(C187="",IF(COUNTA(D187:J187)&gt;0,1,0),IF(OR(COUNTIFS($C$9:$C$1008,C187)&lt;&gt;1,NOT(ISNUMBER(D187)),NOT(ISNUMBER(I187)),L187="",AND(F187&lt;&gt;"",COUNTIFS(Umowy!$C$9:$C$108,F187,Umowy!$D$9:$D$108,L187)&lt;&gt;1)),1,0))</f>
        <v>0</v>
      </c>
      <c r="P187" s="7" t="str">
        <f t="shared" si="7"/>
        <v/>
      </c>
      <c r="Q187" s="7" t="str">
        <f t="shared" si="8"/>
        <v/>
      </c>
    </row>
    <row r="188" spans="1:17" ht="24" customHeight="1">
      <c r="A188" s="7"/>
      <c r="B188" s="7"/>
      <c r="C188" s="3"/>
      <c r="D188" s="2"/>
      <c r="E188" s="3"/>
      <c r="F188" s="3"/>
      <c r="G188" s="3"/>
      <c r="H188" s="3"/>
      <c r="I188" s="6"/>
      <c r="J188" s="3"/>
      <c r="K188" s="7"/>
      <c r="L188" s="13" t="str">
        <f>IF(C188="","",IF(COUNTIFS(Parametry!$C$54:$C$113,E188)=1,INDEX(Parametry!$D$54:$D$113,MATCH(E188,Parametry!$C$54:$C$113,0)),""))</f>
        <v/>
      </c>
      <c r="M188" s="7">
        <f t="shared" si="6"/>
        <v>0</v>
      </c>
      <c r="N188" s="13">
        <f>IF(AND(ISNUMBER(D188),ISNUMBER(Parametry!$G$6)),IF(AND(YEAR(D188)=Parametry!$G$6,M188&lt;=Parametry!$G$7),1,0),0)</f>
        <v>0</v>
      </c>
      <c r="O188" s="13">
        <f>IF(C188="",IF(COUNTA(D188:J188)&gt;0,1,0),IF(OR(COUNTIFS($C$9:$C$1008,C188)&lt;&gt;1,NOT(ISNUMBER(D188)),NOT(ISNUMBER(I188)),L188="",AND(F188&lt;&gt;"",COUNTIFS(Umowy!$C$9:$C$108,F188,Umowy!$D$9:$D$108,L188)&lt;&gt;1)),1,0))</f>
        <v>0</v>
      </c>
      <c r="P188" s="7" t="str">
        <f t="shared" si="7"/>
        <v/>
      </c>
      <c r="Q188" s="7" t="str">
        <f t="shared" si="8"/>
        <v/>
      </c>
    </row>
    <row r="189" spans="1:17" ht="24" customHeight="1">
      <c r="A189" s="7"/>
      <c r="B189" s="7"/>
      <c r="C189" s="3"/>
      <c r="D189" s="2"/>
      <c r="E189" s="3"/>
      <c r="F189" s="3"/>
      <c r="G189" s="3"/>
      <c r="H189" s="3"/>
      <c r="I189" s="6"/>
      <c r="J189" s="3"/>
      <c r="K189" s="7"/>
      <c r="L189" s="13" t="str">
        <f>IF(C189="","",IF(COUNTIFS(Parametry!$C$54:$C$113,E189)=1,INDEX(Parametry!$D$54:$D$113,MATCH(E189,Parametry!$C$54:$C$113,0)),""))</f>
        <v/>
      </c>
      <c r="M189" s="7">
        <f t="shared" si="6"/>
        <v>0</v>
      </c>
      <c r="N189" s="13">
        <f>IF(AND(ISNUMBER(D189),ISNUMBER(Parametry!$G$6)),IF(AND(YEAR(D189)=Parametry!$G$6,M189&lt;=Parametry!$G$7),1,0),0)</f>
        <v>0</v>
      </c>
      <c r="O189" s="13">
        <f>IF(C189="",IF(COUNTA(D189:J189)&gt;0,1,0),IF(OR(COUNTIFS($C$9:$C$1008,C189)&lt;&gt;1,NOT(ISNUMBER(D189)),NOT(ISNUMBER(I189)),L189="",AND(F189&lt;&gt;"",COUNTIFS(Umowy!$C$9:$C$108,F189,Umowy!$D$9:$D$108,L189)&lt;&gt;1)),1,0))</f>
        <v>0</v>
      </c>
      <c r="P189" s="7" t="str">
        <f t="shared" si="7"/>
        <v/>
      </c>
      <c r="Q189" s="7" t="str">
        <f t="shared" si="8"/>
        <v/>
      </c>
    </row>
    <row r="190" spans="1:17" ht="24" customHeight="1">
      <c r="A190" s="7"/>
      <c r="B190" s="7"/>
      <c r="C190" s="3"/>
      <c r="D190" s="2"/>
      <c r="E190" s="3"/>
      <c r="F190" s="3"/>
      <c r="G190" s="3"/>
      <c r="H190" s="3"/>
      <c r="I190" s="6"/>
      <c r="J190" s="3"/>
      <c r="K190" s="7"/>
      <c r="L190" s="13" t="str">
        <f>IF(C190="","",IF(COUNTIFS(Parametry!$C$54:$C$113,E190)=1,INDEX(Parametry!$D$54:$D$113,MATCH(E190,Parametry!$C$54:$C$113,0)),""))</f>
        <v/>
      </c>
      <c r="M190" s="7">
        <f t="shared" si="6"/>
        <v>0</v>
      </c>
      <c r="N190" s="13">
        <f>IF(AND(ISNUMBER(D190),ISNUMBER(Parametry!$G$6)),IF(AND(YEAR(D190)=Parametry!$G$6,M190&lt;=Parametry!$G$7),1,0),0)</f>
        <v>0</v>
      </c>
      <c r="O190" s="13">
        <f>IF(C190="",IF(COUNTA(D190:J190)&gt;0,1,0),IF(OR(COUNTIFS($C$9:$C$1008,C190)&lt;&gt;1,NOT(ISNUMBER(D190)),NOT(ISNUMBER(I190)),L190="",AND(F190&lt;&gt;"",COUNTIFS(Umowy!$C$9:$C$108,F190,Umowy!$D$9:$D$108,L190)&lt;&gt;1)),1,0))</f>
        <v>0</v>
      </c>
      <c r="P190" s="7" t="str">
        <f t="shared" si="7"/>
        <v/>
      </c>
      <c r="Q190" s="7" t="str">
        <f t="shared" si="8"/>
        <v/>
      </c>
    </row>
    <row r="191" spans="1:17" ht="24" customHeight="1">
      <c r="A191" s="7"/>
      <c r="B191" s="7"/>
      <c r="C191" s="3"/>
      <c r="D191" s="2"/>
      <c r="E191" s="3"/>
      <c r="F191" s="3"/>
      <c r="G191" s="3"/>
      <c r="H191" s="3"/>
      <c r="I191" s="6"/>
      <c r="J191" s="3"/>
      <c r="K191" s="7"/>
      <c r="L191" s="13" t="str">
        <f>IF(C191="","",IF(COUNTIFS(Parametry!$C$54:$C$113,E191)=1,INDEX(Parametry!$D$54:$D$113,MATCH(E191,Parametry!$C$54:$C$113,0)),""))</f>
        <v/>
      </c>
      <c r="M191" s="7">
        <f t="shared" si="6"/>
        <v>0</v>
      </c>
      <c r="N191" s="13">
        <f>IF(AND(ISNUMBER(D191),ISNUMBER(Parametry!$G$6)),IF(AND(YEAR(D191)=Parametry!$G$6,M191&lt;=Parametry!$G$7),1,0),0)</f>
        <v>0</v>
      </c>
      <c r="O191" s="13">
        <f>IF(C191="",IF(COUNTA(D191:J191)&gt;0,1,0),IF(OR(COUNTIFS($C$9:$C$1008,C191)&lt;&gt;1,NOT(ISNUMBER(D191)),NOT(ISNUMBER(I191)),L191="",AND(F191&lt;&gt;"",COUNTIFS(Umowy!$C$9:$C$108,F191,Umowy!$D$9:$D$108,L191)&lt;&gt;1)),1,0))</f>
        <v>0</v>
      </c>
      <c r="P191" s="7" t="str">
        <f t="shared" si="7"/>
        <v/>
      </c>
      <c r="Q191" s="7" t="str">
        <f t="shared" si="8"/>
        <v/>
      </c>
    </row>
    <row r="192" spans="1:17" ht="24" customHeight="1">
      <c r="A192" s="7"/>
      <c r="B192" s="7"/>
      <c r="C192" s="3"/>
      <c r="D192" s="2"/>
      <c r="E192" s="3"/>
      <c r="F192" s="3"/>
      <c r="G192" s="3"/>
      <c r="H192" s="3"/>
      <c r="I192" s="6"/>
      <c r="J192" s="3"/>
      <c r="K192" s="7"/>
      <c r="L192" s="13" t="str">
        <f>IF(C192="","",IF(COUNTIFS(Parametry!$C$54:$C$113,E192)=1,INDEX(Parametry!$D$54:$D$113,MATCH(E192,Parametry!$C$54:$C$113,0)),""))</f>
        <v/>
      </c>
      <c r="M192" s="7">
        <f t="shared" si="6"/>
        <v>0</v>
      </c>
      <c r="N192" s="13">
        <f>IF(AND(ISNUMBER(D192),ISNUMBER(Parametry!$G$6)),IF(AND(YEAR(D192)=Parametry!$G$6,M192&lt;=Parametry!$G$7),1,0),0)</f>
        <v>0</v>
      </c>
      <c r="O192" s="13">
        <f>IF(C192="",IF(COUNTA(D192:J192)&gt;0,1,0),IF(OR(COUNTIFS($C$9:$C$1008,C192)&lt;&gt;1,NOT(ISNUMBER(D192)),NOT(ISNUMBER(I192)),L192="",AND(F192&lt;&gt;"",COUNTIFS(Umowy!$C$9:$C$108,F192,Umowy!$D$9:$D$108,L192)&lt;&gt;1)),1,0))</f>
        <v>0</v>
      </c>
      <c r="P192" s="7" t="str">
        <f t="shared" si="7"/>
        <v/>
      </c>
      <c r="Q192" s="7" t="str">
        <f t="shared" si="8"/>
        <v/>
      </c>
    </row>
    <row r="193" spans="1:17" ht="24" customHeight="1">
      <c r="A193" s="7"/>
      <c r="B193" s="7"/>
      <c r="C193" s="3"/>
      <c r="D193" s="2"/>
      <c r="E193" s="3"/>
      <c r="F193" s="3"/>
      <c r="G193" s="3"/>
      <c r="H193" s="3"/>
      <c r="I193" s="6"/>
      <c r="J193" s="3"/>
      <c r="K193" s="7"/>
      <c r="L193" s="13" t="str">
        <f>IF(C193="","",IF(COUNTIFS(Parametry!$C$54:$C$113,E193)=1,INDEX(Parametry!$D$54:$D$113,MATCH(E193,Parametry!$C$54:$C$113,0)),""))</f>
        <v/>
      </c>
      <c r="M193" s="7">
        <f t="shared" si="6"/>
        <v>0</v>
      </c>
      <c r="N193" s="13">
        <f>IF(AND(ISNUMBER(D193),ISNUMBER(Parametry!$G$6)),IF(AND(YEAR(D193)=Parametry!$G$6,M193&lt;=Parametry!$G$7),1,0),0)</f>
        <v>0</v>
      </c>
      <c r="O193" s="13">
        <f>IF(C193="",IF(COUNTA(D193:J193)&gt;0,1,0),IF(OR(COUNTIFS($C$9:$C$1008,C193)&lt;&gt;1,NOT(ISNUMBER(D193)),NOT(ISNUMBER(I193)),L193="",AND(F193&lt;&gt;"",COUNTIFS(Umowy!$C$9:$C$108,F193,Umowy!$D$9:$D$108,L193)&lt;&gt;1)),1,0))</f>
        <v>0</v>
      </c>
      <c r="P193" s="7" t="str">
        <f t="shared" si="7"/>
        <v/>
      </c>
      <c r="Q193" s="7" t="str">
        <f t="shared" si="8"/>
        <v/>
      </c>
    </row>
    <row r="194" spans="1:17" ht="24" customHeight="1">
      <c r="A194" s="7"/>
      <c r="B194" s="7"/>
      <c r="C194" s="3"/>
      <c r="D194" s="2"/>
      <c r="E194" s="3"/>
      <c r="F194" s="3"/>
      <c r="G194" s="3"/>
      <c r="H194" s="3"/>
      <c r="I194" s="6"/>
      <c r="J194" s="3"/>
      <c r="K194" s="7"/>
      <c r="L194" s="13" t="str">
        <f>IF(C194="","",IF(COUNTIFS(Parametry!$C$54:$C$113,E194)=1,INDEX(Parametry!$D$54:$D$113,MATCH(E194,Parametry!$C$54:$C$113,0)),""))</f>
        <v/>
      </c>
      <c r="M194" s="7">
        <f t="shared" si="6"/>
        <v>0</v>
      </c>
      <c r="N194" s="13">
        <f>IF(AND(ISNUMBER(D194),ISNUMBER(Parametry!$G$6)),IF(AND(YEAR(D194)=Parametry!$G$6,M194&lt;=Parametry!$G$7),1,0),0)</f>
        <v>0</v>
      </c>
      <c r="O194" s="13">
        <f>IF(C194="",IF(COUNTA(D194:J194)&gt;0,1,0),IF(OR(COUNTIFS($C$9:$C$1008,C194)&lt;&gt;1,NOT(ISNUMBER(D194)),NOT(ISNUMBER(I194)),L194="",AND(F194&lt;&gt;"",COUNTIFS(Umowy!$C$9:$C$108,F194,Umowy!$D$9:$D$108,L194)&lt;&gt;1)),1,0))</f>
        <v>0</v>
      </c>
      <c r="P194" s="7" t="str">
        <f t="shared" si="7"/>
        <v/>
      </c>
      <c r="Q194" s="7" t="str">
        <f t="shared" si="8"/>
        <v/>
      </c>
    </row>
    <row r="195" spans="1:17" ht="24" customHeight="1">
      <c r="A195" s="7"/>
      <c r="B195" s="7"/>
      <c r="C195" s="3"/>
      <c r="D195" s="2"/>
      <c r="E195" s="3"/>
      <c r="F195" s="3"/>
      <c r="G195" s="3"/>
      <c r="H195" s="3"/>
      <c r="I195" s="6"/>
      <c r="J195" s="3"/>
      <c r="K195" s="7"/>
      <c r="L195" s="13" t="str">
        <f>IF(C195="","",IF(COUNTIFS(Parametry!$C$54:$C$113,E195)=1,INDEX(Parametry!$D$54:$D$113,MATCH(E195,Parametry!$C$54:$C$113,0)),""))</f>
        <v/>
      </c>
      <c r="M195" s="7">
        <f t="shared" si="6"/>
        <v>0</v>
      </c>
      <c r="N195" s="13">
        <f>IF(AND(ISNUMBER(D195),ISNUMBER(Parametry!$G$6)),IF(AND(YEAR(D195)=Parametry!$G$6,M195&lt;=Parametry!$G$7),1,0),0)</f>
        <v>0</v>
      </c>
      <c r="O195" s="13">
        <f>IF(C195="",IF(COUNTA(D195:J195)&gt;0,1,0),IF(OR(COUNTIFS($C$9:$C$1008,C195)&lt;&gt;1,NOT(ISNUMBER(D195)),NOT(ISNUMBER(I195)),L195="",AND(F195&lt;&gt;"",COUNTIFS(Umowy!$C$9:$C$108,F195,Umowy!$D$9:$D$108,L195)&lt;&gt;1)),1,0))</f>
        <v>0</v>
      </c>
      <c r="P195" s="7" t="str">
        <f t="shared" si="7"/>
        <v/>
      </c>
      <c r="Q195" s="7" t="str">
        <f t="shared" si="8"/>
        <v/>
      </c>
    </row>
    <row r="196" spans="1:17" ht="24" customHeight="1">
      <c r="A196" s="7"/>
      <c r="B196" s="7"/>
      <c r="C196" s="3"/>
      <c r="D196" s="2"/>
      <c r="E196" s="3"/>
      <c r="F196" s="3"/>
      <c r="G196" s="3"/>
      <c r="H196" s="3"/>
      <c r="I196" s="6"/>
      <c r="J196" s="3"/>
      <c r="K196" s="7"/>
      <c r="L196" s="13" t="str">
        <f>IF(C196="","",IF(COUNTIFS(Parametry!$C$54:$C$113,E196)=1,INDEX(Parametry!$D$54:$D$113,MATCH(E196,Parametry!$C$54:$C$113,0)),""))</f>
        <v/>
      </c>
      <c r="M196" s="7">
        <f t="shared" si="6"/>
        <v>0</v>
      </c>
      <c r="N196" s="13">
        <f>IF(AND(ISNUMBER(D196),ISNUMBER(Parametry!$G$6)),IF(AND(YEAR(D196)=Parametry!$G$6,M196&lt;=Parametry!$G$7),1,0),0)</f>
        <v>0</v>
      </c>
      <c r="O196" s="13">
        <f>IF(C196="",IF(COUNTA(D196:J196)&gt;0,1,0),IF(OR(COUNTIFS($C$9:$C$1008,C196)&lt;&gt;1,NOT(ISNUMBER(D196)),NOT(ISNUMBER(I196)),L196="",AND(F196&lt;&gt;"",COUNTIFS(Umowy!$C$9:$C$108,F196,Umowy!$D$9:$D$108,L196)&lt;&gt;1)),1,0))</f>
        <v>0</v>
      </c>
      <c r="P196" s="7" t="str">
        <f t="shared" si="7"/>
        <v/>
      </c>
      <c r="Q196" s="7" t="str">
        <f t="shared" si="8"/>
        <v/>
      </c>
    </row>
    <row r="197" spans="1:17" ht="24" customHeight="1">
      <c r="A197" s="7"/>
      <c r="B197" s="7"/>
      <c r="C197" s="3"/>
      <c r="D197" s="2"/>
      <c r="E197" s="3"/>
      <c r="F197" s="3"/>
      <c r="G197" s="3"/>
      <c r="H197" s="3"/>
      <c r="I197" s="6"/>
      <c r="J197" s="3"/>
      <c r="K197" s="7"/>
      <c r="L197" s="13" t="str">
        <f>IF(C197="","",IF(COUNTIFS(Parametry!$C$54:$C$113,E197)=1,INDEX(Parametry!$D$54:$D$113,MATCH(E197,Parametry!$C$54:$C$113,0)),""))</f>
        <v/>
      </c>
      <c r="M197" s="7">
        <f t="shared" si="6"/>
        <v>0</v>
      </c>
      <c r="N197" s="13">
        <f>IF(AND(ISNUMBER(D197),ISNUMBER(Parametry!$G$6)),IF(AND(YEAR(D197)=Parametry!$G$6,M197&lt;=Parametry!$G$7),1,0),0)</f>
        <v>0</v>
      </c>
      <c r="O197" s="13">
        <f>IF(C197="",IF(COUNTA(D197:J197)&gt;0,1,0),IF(OR(COUNTIFS($C$9:$C$1008,C197)&lt;&gt;1,NOT(ISNUMBER(D197)),NOT(ISNUMBER(I197)),L197="",AND(F197&lt;&gt;"",COUNTIFS(Umowy!$C$9:$C$108,F197,Umowy!$D$9:$D$108,L197)&lt;&gt;1)),1,0))</f>
        <v>0</v>
      </c>
      <c r="P197" s="7" t="str">
        <f t="shared" si="7"/>
        <v/>
      </c>
      <c r="Q197" s="7" t="str">
        <f t="shared" si="8"/>
        <v/>
      </c>
    </row>
    <row r="198" spans="1:17" ht="24" customHeight="1">
      <c r="A198" s="7"/>
      <c r="B198" s="7"/>
      <c r="C198" s="3"/>
      <c r="D198" s="2"/>
      <c r="E198" s="3"/>
      <c r="F198" s="3"/>
      <c r="G198" s="3"/>
      <c r="H198" s="3"/>
      <c r="I198" s="6"/>
      <c r="J198" s="3"/>
      <c r="K198" s="7"/>
      <c r="L198" s="13" t="str">
        <f>IF(C198="","",IF(COUNTIFS(Parametry!$C$54:$C$113,E198)=1,INDEX(Parametry!$D$54:$D$113,MATCH(E198,Parametry!$C$54:$C$113,0)),""))</f>
        <v/>
      </c>
      <c r="M198" s="7">
        <f t="shared" si="6"/>
        <v>0</v>
      </c>
      <c r="N198" s="13">
        <f>IF(AND(ISNUMBER(D198),ISNUMBER(Parametry!$G$6)),IF(AND(YEAR(D198)=Parametry!$G$6,M198&lt;=Parametry!$G$7),1,0),0)</f>
        <v>0</v>
      </c>
      <c r="O198" s="13">
        <f>IF(C198="",IF(COUNTA(D198:J198)&gt;0,1,0),IF(OR(COUNTIFS($C$9:$C$1008,C198)&lt;&gt;1,NOT(ISNUMBER(D198)),NOT(ISNUMBER(I198)),L198="",AND(F198&lt;&gt;"",COUNTIFS(Umowy!$C$9:$C$108,F198,Umowy!$D$9:$D$108,L198)&lt;&gt;1)),1,0))</f>
        <v>0</v>
      </c>
      <c r="P198" s="7" t="str">
        <f t="shared" si="7"/>
        <v/>
      </c>
      <c r="Q198" s="7" t="str">
        <f t="shared" si="8"/>
        <v/>
      </c>
    </row>
    <row r="199" spans="1:17" ht="24" customHeight="1">
      <c r="A199" s="7"/>
      <c r="B199" s="7"/>
      <c r="C199" s="3"/>
      <c r="D199" s="2"/>
      <c r="E199" s="3"/>
      <c r="F199" s="3"/>
      <c r="G199" s="3"/>
      <c r="H199" s="3"/>
      <c r="I199" s="6"/>
      <c r="J199" s="3"/>
      <c r="K199" s="7"/>
      <c r="L199" s="13" t="str">
        <f>IF(C199="","",IF(COUNTIFS(Parametry!$C$54:$C$113,E199)=1,INDEX(Parametry!$D$54:$D$113,MATCH(E199,Parametry!$C$54:$C$113,0)),""))</f>
        <v/>
      </c>
      <c r="M199" s="7">
        <f t="shared" si="6"/>
        <v>0</v>
      </c>
      <c r="N199" s="13">
        <f>IF(AND(ISNUMBER(D199),ISNUMBER(Parametry!$G$6)),IF(AND(YEAR(D199)=Parametry!$G$6,M199&lt;=Parametry!$G$7),1,0),0)</f>
        <v>0</v>
      </c>
      <c r="O199" s="13">
        <f>IF(C199="",IF(COUNTA(D199:J199)&gt;0,1,0),IF(OR(COUNTIFS($C$9:$C$1008,C199)&lt;&gt;1,NOT(ISNUMBER(D199)),NOT(ISNUMBER(I199)),L199="",AND(F199&lt;&gt;"",COUNTIFS(Umowy!$C$9:$C$108,F199,Umowy!$D$9:$D$108,L199)&lt;&gt;1)),1,0))</f>
        <v>0</v>
      </c>
      <c r="P199" s="7" t="str">
        <f t="shared" si="7"/>
        <v/>
      </c>
      <c r="Q199" s="7" t="str">
        <f t="shared" si="8"/>
        <v/>
      </c>
    </row>
    <row r="200" spans="1:17" ht="24" customHeight="1">
      <c r="A200" s="7"/>
      <c r="B200" s="7"/>
      <c r="C200" s="3"/>
      <c r="D200" s="2"/>
      <c r="E200" s="3"/>
      <c r="F200" s="3"/>
      <c r="G200" s="3"/>
      <c r="H200" s="3"/>
      <c r="I200" s="6"/>
      <c r="J200" s="3"/>
      <c r="K200" s="7"/>
      <c r="L200" s="13" t="str">
        <f>IF(C200="","",IF(COUNTIFS(Parametry!$C$54:$C$113,E200)=1,INDEX(Parametry!$D$54:$D$113,MATCH(E200,Parametry!$C$54:$C$113,0)),""))</f>
        <v/>
      </c>
      <c r="M200" s="7">
        <f t="shared" si="6"/>
        <v>0</v>
      </c>
      <c r="N200" s="13">
        <f>IF(AND(ISNUMBER(D200),ISNUMBER(Parametry!$G$6)),IF(AND(YEAR(D200)=Parametry!$G$6,M200&lt;=Parametry!$G$7),1,0),0)</f>
        <v>0</v>
      </c>
      <c r="O200" s="13">
        <f>IF(C200="",IF(COUNTA(D200:J200)&gt;0,1,0),IF(OR(COUNTIFS($C$9:$C$1008,C200)&lt;&gt;1,NOT(ISNUMBER(D200)),NOT(ISNUMBER(I200)),L200="",AND(F200&lt;&gt;"",COUNTIFS(Umowy!$C$9:$C$108,F200,Umowy!$D$9:$D$108,L200)&lt;&gt;1)),1,0))</f>
        <v>0</v>
      </c>
      <c r="P200" s="7" t="str">
        <f t="shared" si="7"/>
        <v/>
      </c>
      <c r="Q200" s="7" t="str">
        <f t="shared" si="8"/>
        <v/>
      </c>
    </row>
    <row r="201" spans="1:17" ht="24" customHeight="1">
      <c r="A201" s="7"/>
      <c r="B201" s="7"/>
      <c r="C201" s="3"/>
      <c r="D201" s="2"/>
      <c r="E201" s="3"/>
      <c r="F201" s="3"/>
      <c r="G201" s="3"/>
      <c r="H201" s="3"/>
      <c r="I201" s="6"/>
      <c r="J201" s="3"/>
      <c r="K201" s="7"/>
      <c r="L201" s="13" t="str">
        <f>IF(C201="","",IF(COUNTIFS(Parametry!$C$54:$C$113,E201)=1,INDEX(Parametry!$D$54:$D$113,MATCH(E201,Parametry!$C$54:$C$113,0)),""))</f>
        <v/>
      </c>
      <c r="M201" s="7">
        <f t="shared" ref="M201:M264" si="9">IF(ISNUMBER(D201),MONTH(D201),0)</f>
        <v>0</v>
      </c>
      <c r="N201" s="13">
        <f>IF(AND(ISNUMBER(D201),ISNUMBER(Parametry!$G$6)),IF(AND(YEAR(D201)=Parametry!$G$6,M201&lt;=Parametry!$G$7),1,0),0)</f>
        <v>0</v>
      </c>
      <c r="O201" s="13">
        <f>IF(C201="",IF(COUNTA(D201:J201)&gt;0,1,0),IF(OR(COUNTIFS($C$9:$C$1008,C201)&lt;&gt;1,NOT(ISNUMBER(D201)),NOT(ISNUMBER(I201)),L201="",AND(F201&lt;&gt;"",COUNTIFS(Umowy!$C$9:$C$108,F201,Umowy!$D$9:$D$108,L201)&lt;&gt;1)),1,0))</f>
        <v>0</v>
      </c>
      <c r="P201" s="7" t="str">
        <f t="shared" ref="P201:P264" si="10">IF(O201=0,"",IF(C201="","Missing RowID",IF(COUNTIFS($C$9:$C$1008,C201)&lt;&gt;1,"Duplicate RowID",IF(L201="","Unmapped ERPKey",IF(NOT(ISNUMBER(D201)),"Invalid Date",IF(NOT(ISNUMBER(I201)),"Invalid AmountPLN","CommitmentID / BudgetID"))))))</f>
        <v/>
      </c>
      <c r="Q201" s="7" t="str">
        <f t="shared" ref="Q201:Q264" si="11">IF(C201="","",IF(N201=1,"","Nie ujęto w wykonaniu okresu"))</f>
        <v/>
      </c>
    </row>
    <row r="202" spans="1:17" ht="24" customHeight="1">
      <c r="A202" s="7"/>
      <c r="B202" s="7"/>
      <c r="C202" s="3"/>
      <c r="D202" s="2"/>
      <c r="E202" s="3"/>
      <c r="F202" s="3"/>
      <c r="G202" s="3"/>
      <c r="H202" s="3"/>
      <c r="I202" s="6"/>
      <c r="J202" s="3"/>
      <c r="K202" s="7"/>
      <c r="L202" s="13" t="str">
        <f>IF(C202="","",IF(COUNTIFS(Parametry!$C$54:$C$113,E202)=1,INDEX(Parametry!$D$54:$D$113,MATCH(E202,Parametry!$C$54:$C$113,0)),""))</f>
        <v/>
      </c>
      <c r="M202" s="7">
        <f t="shared" si="9"/>
        <v>0</v>
      </c>
      <c r="N202" s="13">
        <f>IF(AND(ISNUMBER(D202),ISNUMBER(Parametry!$G$6)),IF(AND(YEAR(D202)=Parametry!$G$6,M202&lt;=Parametry!$G$7),1,0),0)</f>
        <v>0</v>
      </c>
      <c r="O202" s="13">
        <f>IF(C202="",IF(COUNTA(D202:J202)&gt;0,1,0),IF(OR(COUNTIFS($C$9:$C$1008,C202)&lt;&gt;1,NOT(ISNUMBER(D202)),NOT(ISNUMBER(I202)),L202="",AND(F202&lt;&gt;"",COUNTIFS(Umowy!$C$9:$C$108,F202,Umowy!$D$9:$D$108,L202)&lt;&gt;1)),1,0))</f>
        <v>0</v>
      </c>
      <c r="P202" s="7" t="str">
        <f t="shared" si="10"/>
        <v/>
      </c>
      <c r="Q202" s="7" t="str">
        <f t="shared" si="11"/>
        <v/>
      </c>
    </row>
    <row r="203" spans="1:17" ht="24" customHeight="1">
      <c r="A203" s="7"/>
      <c r="B203" s="7"/>
      <c r="C203" s="3"/>
      <c r="D203" s="2"/>
      <c r="E203" s="3"/>
      <c r="F203" s="3"/>
      <c r="G203" s="3"/>
      <c r="H203" s="3"/>
      <c r="I203" s="6"/>
      <c r="J203" s="3"/>
      <c r="K203" s="7"/>
      <c r="L203" s="13" t="str">
        <f>IF(C203="","",IF(COUNTIFS(Parametry!$C$54:$C$113,E203)=1,INDEX(Parametry!$D$54:$D$113,MATCH(E203,Parametry!$C$54:$C$113,0)),""))</f>
        <v/>
      </c>
      <c r="M203" s="7">
        <f t="shared" si="9"/>
        <v>0</v>
      </c>
      <c r="N203" s="13">
        <f>IF(AND(ISNUMBER(D203),ISNUMBER(Parametry!$G$6)),IF(AND(YEAR(D203)=Parametry!$G$6,M203&lt;=Parametry!$G$7),1,0),0)</f>
        <v>0</v>
      </c>
      <c r="O203" s="13">
        <f>IF(C203="",IF(COUNTA(D203:J203)&gt;0,1,0),IF(OR(COUNTIFS($C$9:$C$1008,C203)&lt;&gt;1,NOT(ISNUMBER(D203)),NOT(ISNUMBER(I203)),L203="",AND(F203&lt;&gt;"",COUNTIFS(Umowy!$C$9:$C$108,F203,Umowy!$D$9:$D$108,L203)&lt;&gt;1)),1,0))</f>
        <v>0</v>
      </c>
      <c r="P203" s="7" t="str">
        <f t="shared" si="10"/>
        <v/>
      </c>
      <c r="Q203" s="7" t="str">
        <f t="shared" si="11"/>
        <v/>
      </c>
    </row>
    <row r="204" spans="1:17" ht="24" customHeight="1">
      <c r="A204" s="7"/>
      <c r="B204" s="7"/>
      <c r="C204" s="3"/>
      <c r="D204" s="2"/>
      <c r="E204" s="3"/>
      <c r="F204" s="3"/>
      <c r="G204" s="3"/>
      <c r="H204" s="3"/>
      <c r="I204" s="6"/>
      <c r="J204" s="3"/>
      <c r="K204" s="7"/>
      <c r="L204" s="13" t="str">
        <f>IF(C204="","",IF(COUNTIFS(Parametry!$C$54:$C$113,E204)=1,INDEX(Parametry!$D$54:$D$113,MATCH(E204,Parametry!$C$54:$C$113,0)),""))</f>
        <v/>
      </c>
      <c r="M204" s="7">
        <f t="shared" si="9"/>
        <v>0</v>
      </c>
      <c r="N204" s="13">
        <f>IF(AND(ISNUMBER(D204),ISNUMBER(Parametry!$G$6)),IF(AND(YEAR(D204)=Parametry!$G$6,M204&lt;=Parametry!$G$7),1,0),0)</f>
        <v>0</v>
      </c>
      <c r="O204" s="13">
        <f>IF(C204="",IF(COUNTA(D204:J204)&gt;0,1,0),IF(OR(COUNTIFS($C$9:$C$1008,C204)&lt;&gt;1,NOT(ISNUMBER(D204)),NOT(ISNUMBER(I204)),L204="",AND(F204&lt;&gt;"",COUNTIFS(Umowy!$C$9:$C$108,F204,Umowy!$D$9:$D$108,L204)&lt;&gt;1)),1,0))</f>
        <v>0</v>
      </c>
      <c r="P204" s="7" t="str">
        <f t="shared" si="10"/>
        <v/>
      </c>
      <c r="Q204" s="7" t="str">
        <f t="shared" si="11"/>
        <v/>
      </c>
    </row>
    <row r="205" spans="1:17" ht="24" customHeight="1">
      <c r="A205" s="7"/>
      <c r="B205" s="7"/>
      <c r="C205" s="3"/>
      <c r="D205" s="2"/>
      <c r="E205" s="3"/>
      <c r="F205" s="3"/>
      <c r="G205" s="3"/>
      <c r="H205" s="3"/>
      <c r="I205" s="6"/>
      <c r="J205" s="3"/>
      <c r="K205" s="7"/>
      <c r="L205" s="13" t="str">
        <f>IF(C205="","",IF(COUNTIFS(Parametry!$C$54:$C$113,E205)=1,INDEX(Parametry!$D$54:$D$113,MATCH(E205,Parametry!$C$54:$C$113,0)),""))</f>
        <v/>
      </c>
      <c r="M205" s="7">
        <f t="shared" si="9"/>
        <v>0</v>
      </c>
      <c r="N205" s="13">
        <f>IF(AND(ISNUMBER(D205),ISNUMBER(Parametry!$G$6)),IF(AND(YEAR(D205)=Parametry!$G$6,M205&lt;=Parametry!$G$7),1,0),0)</f>
        <v>0</v>
      </c>
      <c r="O205" s="13">
        <f>IF(C205="",IF(COUNTA(D205:J205)&gt;0,1,0),IF(OR(COUNTIFS($C$9:$C$1008,C205)&lt;&gt;1,NOT(ISNUMBER(D205)),NOT(ISNUMBER(I205)),L205="",AND(F205&lt;&gt;"",COUNTIFS(Umowy!$C$9:$C$108,F205,Umowy!$D$9:$D$108,L205)&lt;&gt;1)),1,0))</f>
        <v>0</v>
      </c>
      <c r="P205" s="7" t="str">
        <f t="shared" si="10"/>
        <v/>
      </c>
      <c r="Q205" s="7" t="str">
        <f t="shared" si="11"/>
        <v/>
      </c>
    </row>
    <row r="206" spans="1:17" ht="24" customHeight="1">
      <c r="A206" s="7"/>
      <c r="B206" s="7"/>
      <c r="C206" s="3"/>
      <c r="D206" s="2"/>
      <c r="E206" s="3"/>
      <c r="F206" s="3"/>
      <c r="G206" s="3"/>
      <c r="H206" s="3"/>
      <c r="I206" s="6"/>
      <c r="J206" s="3"/>
      <c r="K206" s="7"/>
      <c r="L206" s="13" t="str">
        <f>IF(C206="","",IF(COUNTIFS(Parametry!$C$54:$C$113,E206)=1,INDEX(Parametry!$D$54:$D$113,MATCH(E206,Parametry!$C$54:$C$113,0)),""))</f>
        <v/>
      </c>
      <c r="M206" s="7">
        <f t="shared" si="9"/>
        <v>0</v>
      </c>
      <c r="N206" s="13">
        <f>IF(AND(ISNUMBER(D206),ISNUMBER(Parametry!$G$6)),IF(AND(YEAR(D206)=Parametry!$G$6,M206&lt;=Parametry!$G$7),1,0),0)</f>
        <v>0</v>
      </c>
      <c r="O206" s="13">
        <f>IF(C206="",IF(COUNTA(D206:J206)&gt;0,1,0),IF(OR(COUNTIFS($C$9:$C$1008,C206)&lt;&gt;1,NOT(ISNUMBER(D206)),NOT(ISNUMBER(I206)),L206="",AND(F206&lt;&gt;"",COUNTIFS(Umowy!$C$9:$C$108,F206,Umowy!$D$9:$D$108,L206)&lt;&gt;1)),1,0))</f>
        <v>0</v>
      </c>
      <c r="P206" s="7" t="str">
        <f t="shared" si="10"/>
        <v/>
      </c>
      <c r="Q206" s="7" t="str">
        <f t="shared" si="11"/>
        <v/>
      </c>
    </row>
    <row r="207" spans="1:17" ht="24" customHeight="1">
      <c r="A207" s="7"/>
      <c r="B207" s="7"/>
      <c r="C207" s="3"/>
      <c r="D207" s="2"/>
      <c r="E207" s="3"/>
      <c r="F207" s="3"/>
      <c r="G207" s="3"/>
      <c r="H207" s="3"/>
      <c r="I207" s="6"/>
      <c r="J207" s="3"/>
      <c r="K207" s="7"/>
      <c r="L207" s="13" t="str">
        <f>IF(C207="","",IF(COUNTIFS(Parametry!$C$54:$C$113,E207)=1,INDEX(Parametry!$D$54:$D$113,MATCH(E207,Parametry!$C$54:$C$113,0)),""))</f>
        <v/>
      </c>
      <c r="M207" s="7">
        <f t="shared" si="9"/>
        <v>0</v>
      </c>
      <c r="N207" s="13">
        <f>IF(AND(ISNUMBER(D207),ISNUMBER(Parametry!$G$6)),IF(AND(YEAR(D207)=Parametry!$G$6,M207&lt;=Parametry!$G$7),1,0),0)</f>
        <v>0</v>
      </c>
      <c r="O207" s="13">
        <f>IF(C207="",IF(COUNTA(D207:J207)&gt;0,1,0),IF(OR(COUNTIFS($C$9:$C$1008,C207)&lt;&gt;1,NOT(ISNUMBER(D207)),NOT(ISNUMBER(I207)),L207="",AND(F207&lt;&gt;"",COUNTIFS(Umowy!$C$9:$C$108,F207,Umowy!$D$9:$D$108,L207)&lt;&gt;1)),1,0))</f>
        <v>0</v>
      </c>
      <c r="P207" s="7" t="str">
        <f t="shared" si="10"/>
        <v/>
      </c>
      <c r="Q207" s="7" t="str">
        <f t="shared" si="11"/>
        <v/>
      </c>
    </row>
    <row r="208" spans="1:17" ht="24" customHeight="1">
      <c r="A208" s="7"/>
      <c r="B208" s="7"/>
      <c r="C208" s="3"/>
      <c r="D208" s="2"/>
      <c r="E208" s="3"/>
      <c r="F208" s="3"/>
      <c r="G208" s="3"/>
      <c r="H208" s="3"/>
      <c r="I208" s="6"/>
      <c r="J208" s="3"/>
      <c r="K208" s="7"/>
      <c r="L208" s="13" t="str">
        <f>IF(C208="","",IF(COUNTIFS(Parametry!$C$54:$C$113,E208)=1,INDEX(Parametry!$D$54:$D$113,MATCH(E208,Parametry!$C$54:$C$113,0)),""))</f>
        <v/>
      </c>
      <c r="M208" s="7">
        <f t="shared" si="9"/>
        <v>0</v>
      </c>
      <c r="N208" s="13">
        <f>IF(AND(ISNUMBER(D208),ISNUMBER(Parametry!$G$6)),IF(AND(YEAR(D208)=Parametry!$G$6,M208&lt;=Parametry!$G$7),1,0),0)</f>
        <v>0</v>
      </c>
      <c r="O208" s="13">
        <f>IF(C208="",IF(COUNTA(D208:J208)&gt;0,1,0),IF(OR(COUNTIFS($C$9:$C$1008,C208)&lt;&gt;1,NOT(ISNUMBER(D208)),NOT(ISNUMBER(I208)),L208="",AND(F208&lt;&gt;"",COUNTIFS(Umowy!$C$9:$C$108,F208,Umowy!$D$9:$D$108,L208)&lt;&gt;1)),1,0))</f>
        <v>0</v>
      </c>
      <c r="P208" s="7" t="str">
        <f t="shared" si="10"/>
        <v/>
      </c>
      <c r="Q208" s="7" t="str">
        <f t="shared" si="11"/>
        <v/>
      </c>
    </row>
    <row r="209" spans="1:17" ht="24" customHeight="1">
      <c r="A209" s="7"/>
      <c r="B209" s="7"/>
      <c r="C209" s="3"/>
      <c r="D209" s="2"/>
      <c r="E209" s="3"/>
      <c r="F209" s="3"/>
      <c r="G209" s="3"/>
      <c r="H209" s="3"/>
      <c r="I209" s="6"/>
      <c r="J209" s="3"/>
      <c r="K209" s="7"/>
      <c r="L209" s="13" t="str">
        <f>IF(C209="","",IF(COUNTIFS(Parametry!$C$54:$C$113,E209)=1,INDEX(Parametry!$D$54:$D$113,MATCH(E209,Parametry!$C$54:$C$113,0)),""))</f>
        <v/>
      </c>
      <c r="M209" s="7">
        <f t="shared" si="9"/>
        <v>0</v>
      </c>
      <c r="N209" s="13">
        <f>IF(AND(ISNUMBER(D209),ISNUMBER(Parametry!$G$6)),IF(AND(YEAR(D209)=Parametry!$G$6,M209&lt;=Parametry!$G$7),1,0),0)</f>
        <v>0</v>
      </c>
      <c r="O209" s="13">
        <f>IF(C209="",IF(COUNTA(D209:J209)&gt;0,1,0),IF(OR(COUNTIFS($C$9:$C$1008,C209)&lt;&gt;1,NOT(ISNUMBER(D209)),NOT(ISNUMBER(I209)),L209="",AND(F209&lt;&gt;"",COUNTIFS(Umowy!$C$9:$C$108,F209,Umowy!$D$9:$D$108,L209)&lt;&gt;1)),1,0))</f>
        <v>0</v>
      </c>
      <c r="P209" s="7" t="str">
        <f t="shared" si="10"/>
        <v/>
      </c>
      <c r="Q209" s="7" t="str">
        <f t="shared" si="11"/>
        <v/>
      </c>
    </row>
    <row r="210" spans="1:17" ht="24" customHeight="1">
      <c r="A210" s="7"/>
      <c r="B210" s="7"/>
      <c r="C210" s="3"/>
      <c r="D210" s="2"/>
      <c r="E210" s="3"/>
      <c r="F210" s="3"/>
      <c r="G210" s="3"/>
      <c r="H210" s="3"/>
      <c r="I210" s="6"/>
      <c r="J210" s="3"/>
      <c r="K210" s="7"/>
      <c r="L210" s="13" t="str">
        <f>IF(C210="","",IF(COUNTIFS(Parametry!$C$54:$C$113,E210)=1,INDEX(Parametry!$D$54:$D$113,MATCH(E210,Parametry!$C$54:$C$113,0)),""))</f>
        <v/>
      </c>
      <c r="M210" s="7">
        <f t="shared" si="9"/>
        <v>0</v>
      </c>
      <c r="N210" s="13">
        <f>IF(AND(ISNUMBER(D210),ISNUMBER(Parametry!$G$6)),IF(AND(YEAR(D210)=Parametry!$G$6,M210&lt;=Parametry!$G$7),1,0),0)</f>
        <v>0</v>
      </c>
      <c r="O210" s="13">
        <f>IF(C210="",IF(COUNTA(D210:J210)&gt;0,1,0),IF(OR(COUNTIFS($C$9:$C$1008,C210)&lt;&gt;1,NOT(ISNUMBER(D210)),NOT(ISNUMBER(I210)),L210="",AND(F210&lt;&gt;"",COUNTIFS(Umowy!$C$9:$C$108,F210,Umowy!$D$9:$D$108,L210)&lt;&gt;1)),1,0))</f>
        <v>0</v>
      </c>
      <c r="P210" s="7" t="str">
        <f t="shared" si="10"/>
        <v/>
      </c>
      <c r="Q210" s="7" t="str">
        <f t="shared" si="11"/>
        <v/>
      </c>
    </row>
    <row r="211" spans="1:17" ht="24" customHeight="1">
      <c r="A211" s="7"/>
      <c r="B211" s="7"/>
      <c r="C211" s="3"/>
      <c r="D211" s="2"/>
      <c r="E211" s="3"/>
      <c r="F211" s="3"/>
      <c r="G211" s="3"/>
      <c r="H211" s="3"/>
      <c r="I211" s="6"/>
      <c r="J211" s="3"/>
      <c r="K211" s="7"/>
      <c r="L211" s="13" t="str">
        <f>IF(C211="","",IF(COUNTIFS(Parametry!$C$54:$C$113,E211)=1,INDEX(Parametry!$D$54:$D$113,MATCH(E211,Parametry!$C$54:$C$113,0)),""))</f>
        <v/>
      </c>
      <c r="M211" s="7">
        <f t="shared" si="9"/>
        <v>0</v>
      </c>
      <c r="N211" s="13">
        <f>IF(AND(ISNUMBER(D211),ISNUMBER(Parametry!$G$6)),IF(AND(YEAR(D211)=Parametry!$G$6,M211&lt;=Parametry!$G$7),1,0),0)</f>
        <v>0</v>
      </c>
      <c r="O211" s="13">
        <f>IF(C211="",IF(COUNTA(D211:J211)&gt;0,1,0),IF(OR(COUNTIFS($C$9:$C$1008,C211)&lt;&gt;1,NOT(ISNUMBER(D211)),NOT(ISNUMBER(I211)),L211="",AND(F211&lt;&gt;"",COUNTIFS(Umowy!$C$9:$C$108,F211,Umowy!$D$9:$D$108,L211)&lt;&gt;1)),1,0))</f>
        <v>0</v>
      </c>
      <c r="P211" s="7" t="str">
        <f t="shared" si="10"/>
        <v/>
      </c>
      <c r="Q211" s="7" t="str">
        <f t="shared" si="11"/>
        <v/>
      </c>
    </row>
    <row r="212" spans="1:17" ht="24" customHeight="1">
      <c r="A212" s="7"/>
      <c r="B212" s="7"/>
      <c r="C212" s="3"/>
      <c r="D212" s="2"/>
      <c r="E212" s="3"/>
      <c r="F212" s="3"/>
      <c r="G212" s="3"/>
      <c r="H212" s="3"/>
      <c r="I212" s="6"/>
      <c r="J212" s="3"/>
      <c r="K212" s="7"/>
      <c r="L212" s="13" t="str">
        <f>IF(C212="","",IF(COUNTIFS(Parametry!$C$54:$C$113,E212)=1,INDEX(Parametry!$D$54:$D$113,MATCH(E212,Parametry!$C$54:$C$113,0)),""))</f>
        <v/>
      </c>
      <c r="M212" s="7">
        <f t="shared" si="9"/>
        <v>0</v>
      </c>
      <c r="N212" s="13">
        <f>IF(AND(ISNUMBER(D212),ISNUMBER(Parametry!$G$6)),IF(AND(YEAR(D212)=Parametry!$G$6,M212&lt;=Parametry!$G$7),1,0),0)</f>
        <v>0</v>
      </c>
      <c r="O212" s="13">
        <f>IF(C212="",IF(COUNTA(D212:J212)&gt;0,1,0),IF(OR(COUNTIFS($C$9:$C$1008,C212)&lt;&gt;1,NOT(ISNUMBER(D212)),NOT(ISNUMBER(I212)),L212="",AND(F212&lt;&gt;"",COUNTIFS(Umowy!$C$9:$C$108,F212,Umowy!$D$9:$D$108,L212)&lt;&gt;1)),1,0))</f>
        <v>0</v>
      </c>
      <c r="P212" s="7" t="str">
        <f t="shared" si="10"/>
        <v/>
      </c>
      <c r="Q212" s="7" t="str">
        <f t="shared" si="11"/>
        <v/>
      </c>
    </row>
    <row r="213" spans="1:17" ht="24" customHeight="1">
      <c r="A213" s="7"/>
      <c r="B213" s="7"/>
      <c r="C213" s="3"/>
      <c r="D213" s="2"/>
      <c r="E213" s="3"/>
      <c r="F213" s="3"/>
      <c r="G213" s="3"/>
      <c r="H213" s="3"/>
      <c r="I213" s="6"/>
      <c r="J213" s="3"/>
      <c r="K213" s="7"/>
      <c r="L213" s="13" t="str">
        <f>IF(C213="","",IF(COUNTIFS(Parametry!$C$54:$C$113,E213)=1,INDEX(Parametry!$D$54:$D$113,MATCH(E213,Parametry!$C$54:$C$113,0)),""))</f>
        <v/>
      </c>
      <c r="M213" s="7">
        <f t="shared" si="9"/>
        <v>0</v>
      </c>
      <c r="N213" s="13">
        <f>IF(AND(ISNUMBER(D213),ISNUMBER(Parametry!$G$6)),IF(AND(YEAR(D213)=Parametry!$G$6,M213&lt;=Parametry!$G$7),1,0),0)</f>
        <v>0</v>
      </c>
      <c r="O213" s="13">
        <f>IF(C213="",IF(COUNTA(D213:J213)&gt;0,1,0),IF(OR(COUNTIFS($C$9:$C$1008,C213)&lt;&gt;1,NOT(ISNUMBER(D213)),NOT(ISNUMBER(I213)),L213="",AND(F213&lt;&gt;"",COUNTIFS(Umowy!$C$9:$C$108,F213,Umowy!$D$9:$D$108,L213)&lt;&gt;1)),1,0))</f>
        <v>0</v>
      </c>
      <c r="P213" s="7" t="str">
        <f t="shared" si="10"/>
        <v/>
      </c>
      <c r="Q213" s="7" t="str">
        <f t="shared" si="11"/>
        <v/>
      </c>
    </row>
    <row r="214" spans="1:17" ht="24" customHeight="1">
      <c r="A214" s="7"/>
      <c r="B214" s="7"/>
      <c r="C214" s="3"/>
      <c r="D214" s="2"/>
      <c r="E214" s="3"/>
      <c r="F214" s="3"/>
      <c r="G214" s="3"/>
      <c r="H214" s="3"/>
      <c r="I214" s="6"/>
      <c r="J214" s="3"/>
      <c r="K214" s="7"/>
      <c r="L214" s="13" t="str">
        <f>IF(C214="","",IF(COUNTIFS(Parametry!$C$54:$C$113,E214)=1,INDEX(Parametry!$D$54:$D$113,MATCH(E214,Parametry!$C$54:$C$113,0)),""))</f>
        <v/>
      </c>
      <c r="M214" s="7">
        <f t="shared" si="9"/>
        <v>0</v>
      </c>
      <c r="N214" s="13">
        <f>IF(AND(ISNUMBER(D214),ISNUMBER(Parametry!$G$6)),IF(AND(YEAR(D214)=Parametry!$G$6,M214&lt;=Parametry!$G$7),1,0),0)</f>
        <v>0</v>
      </c>
      <c r="O214" s="13">
        <f>IF(C214="",IF(COUNTA(D214:J214)&gt;0,1,0),IF(OR(COUNTIFS($C$9:$C$1008,C214)&lt;&gt;1,NOT(ISNUMBER(D214)),NOT(ISNUMBER(I214)),L214="",AND(F214&lt;&gt;"",COUNTIFS(Umowy!$C$9:$C$108,F214,Umowy!$D$9:$D$108,L214)&lt;&gt;1)),1,0))</f>
        <v>0</v>
      </c>
      <c r="P214" s="7" t="str">
        <f t="shared" si="10"/>
        <v/>
      </c>
      <c r="Q214" s="7" t="str">
        <f t="shared" si="11"/>
        <v/>
      </c>
    </row>
    <row r="215" spans="1:17" ht="24" customHeight="1">
      <c r="A215" s="7"/>
      <c r="B215" s="7"/>
      <c r="C215" s="3"/>
      <c r="D215" s="2"/>
      <c r="E215" s="3"/>
      <c r="F215" s="3"/>
      <c r="G215" s="3"/>
      <c r="H215" s="3"/>
      <c r="I215" s="6"/>
      <c r="J215" s="3"/>
      <c r="K215" s="7"/>
      <c r="L215" s="13" t="str">
        <f>IF(C215="","",IF(COUNTIFS(Parametry!$C$54:$C$113,E215)=1,INDEX(Parametry!$D$54:$D$113,MATCH(E215,Parametry!$C$54:$C$113,0)),""))</f>
        <v/>
      </c>
      <c r="M215" s="7">
        <f t="shared" si="9"/>
        <v>0</v>
      </c>
      <c r="N215" s="13">
        <f>IF(AND(ISNUMBER(D215),ISNUMBER(Parametry!$G$6)),IF(AND(YEAR(D215)=Parametry!$G$6,M215&lt;=Parametry!$G$7),1,0),0)</f>
        <v>0</v>
      </c>
      <c r="O215" s="13">
        <f>IF(C215="",IF(COUNTA(D215:J215)&gt;0,1,0),IF(OR(COUNTIFS($C$9:$C$1008,C215)&lt;&gt;1,NOT(ISNUMBER(D215)),NOT(ISNUMBER(I215)),L215="",AND(F215&lt;&gt;"",COUNTIFS(Umowy!$C$9:$C$108,F215,Umowy!$D$9:$D$108,L215)&lt;&gt;1)),1,0))</f>
        <v>0</v>
      </c>
      <c r="P215" s="7" t="str">
        <f t="shared" si="10"/>
        <v/>
      </c>
      <c r="Q215" s="7" t="str">
        <f t="shared" si="11"/>
        <v/>
      </c>
    </row>
    <row r="216" spans="1:17" ht="24" customHeight="1">
      <c r="A216" s="7"/>
      <c r="B216" s="7"/>
      <c r="C216" s="3"/>
      <c r="D216" s="2"/>
      <c r="E216" s="3"/>
      <c r="F216" s="3"/>
      <c r="G216" s="3"/>
      <c r="H216" s="3"/>
      <c r="I216" s="6"/>
      <c r="J216" s="3"/>
      <c r="K216" s="7"/>
      <c r="L216" s="13" t="str">
        <f>IF(C216="","",IF(COUNTIFS(Parametry!$C$54:$C$113,E216)=1,INDEX(Parametry!$D$54:$D$113,MATCH(E216,Parametry!$C$54:$C$113,0)),""))</f>
        <v/>
      </c>
      <c r="M216" s="7">
        <f t="shared" si="9"/>
        <v>0</v>
      </c>
      <c r="N216" s="13">
        <f>IF(AND(ISNUMBER(D216),ISNUMBER(Parametry!$G$6)),IF(AND(YEAR(D216)=Parametry!$G$6,M216&lt;=Parametry!$G$7),1,0),0)</f>
        <v>0</v>
      </c>
      <c r="O216" s="13">
        <f>IF(C216="",IF(COUNTA(D216:J216)&gt;0,1,0),IF(OR(COUNTIFS($C$9:$C$1008,C216)&lt;&gt;1,NOT(ISNUMBER(D216)),NOT(ISNUMBER(I216)),L216="",AND(F216&lt;&gt;"",COUNTIFS(Umowy!$C$9:$C$108,F216,Umowy!$D$9:$D$108,L216)&lt;&gt;1)),1,0))</f>
        <v>0</v>
      </c>
      <c r="P216" s="7" t="str">
        <f t="shared" si="10"/>
        <v/>
      </c>
      <c r="Q216" s="7" t="str">
        <f t="shared" si="11"/>
        <v/>
      </c>
    </row>
    <row r="217" spans="1:17" ht="24" customHeight="1">
      <c r="A217" s="7"/>
      <c r="B217" s="7"/>
      <c r="C217" s="3"/>
      <c r="D217" s="2"/>
      <c r="E217" s="3"/>
      <c r="F217" s="3"/>
      <c r="G217" s="3"/>
      <c r="H217" s="3"/>
      <c r="I217" s="6"/>
      <c r="J217" s="3"/>
      <c r="K217" s="7"/>
      <c r="L217" s="13" t="str">
        <f>IF(C217="","",IF(COUNTIFS(Parametry!$C$54:$C$113,E217)=1,INDEX(Parametry!$D$54:$D$113,MATCH(E217,Parametry!$C$54:$C$113,0)),""))</f>
        <v/>
      </c>
      <c r="M217" s="7">
        <f t="shared" si="9"/>
        <v>0</v>
      </c>
      <c r="N217" s="13">
        <f>IF(AND(ISNUMBER(D217),ISNUMBER(Parametry!$G$6)),IF(AND(YEAR(D217)=Parametry!$G$6,M217&lt;=Parametry!$G$7),1,0),0)</f>
        <v>0</v>
      </c>
      <c r="O217" s="13">
        <f>IF(C217="",IF(COUNTA(D217:J217)&gt;0,1,0),IF(OR(COUNTIFS($C$9:$C$1008,C217)&lt;&gt;1,NOT(ISNUMBER(D217)),NOT(ISNUMBER(I217)),L217="",AND(F217&lt;&gt;"",COUNTIFS(Umowy!$C$9:$C$108,F217,Umowy!$D$9:$D$108,L217)&lt;&gt;1)),1,0))</f>
        <v>0</v>
      </c>
      <c r="P217" s="7" t="str">
        <f t="shared" si="10"/>
        <v/>
      </c>
      <c r="Q217" s="7" t="str">
        <f t="shared" si="11"/>
        <v/>
      </c>
    </row>
    <row r="218" spans="1:17" ht="24" customHeight="1">
      <c r="A218" s="7"/>
      <c r="B218" s="7"/>
      <c r="C218" s="3"/>
      <c r="D218" s="2"/>
      <c r="E218" s="3"/>
      <c r="F218" s="3"/>
      <c r="G218" s="3"/>
      <c r="H218" s="3"/>
      <c r="I218" s="6"/>
      <c r="J218" s="3"/>
      <c r="K218" s="7"/>
      <c r="L218" s="13" t="str">
        <f>IF(C218="","",IF(COUNTIFS(Parametry!$C$54:$C$113,E218)=1,INDEX(Parametry!$D$54:$D$113,MATCH(E218,Parametry!$C$54:$C$113,0)),""))</f>
        <v/>
      </c>
      <c r="M218" s="7">
        <f t="shared" si="9"/>
        <v>0</v>
      </c>
      <c r="N218" s="13">
        <f>IF(AND(ISNUMBER(D218),ISNUMBER(Parametry!$G$6)),IF(AND(YEAR(D218)=Parametry!$G$6,M218&lt;=Parametry!$G$7),1,0),0)</f>
        <v>0</v>
      </c>
      <c r="O218" s="13">
        <f>IF(C218="",IF(COUNTA(D218:J218)&gt;0,1,0),IF(OR(COUNTIFS($C$9:$C$1008,C218)&lt;&gt;1,NOT(ISNUMBER(D218)),NOT(ISNUMBER(I218)),L218="",AND(F218&lt;&gt;"",COUNTIFS(Umowy!$C$9:$C$108,F218,Umowy!$D$9:$D$108,L218)&lt;&gt;1)),1,0))</f>
        <v>0</v>
      </c>
      <c r="P218" s="7" t="str">
        <f t="shared" si="10"/>
        <v/>
      </c>
      <c r="Q218" s="7" t="str">
        <f t="shared" si="11"/>
        <v/>
      </c>
    </row>
    <row r="219" spans="1:17" ht="24" customHeight="1">
      <c r="A219" s="7"/>
      <c r="B219" s="7"/>
      <c r="C219" s="3"/>
      <c r="D219" s="2"/>
      <c r="E219" s="3"/>
      <c r="F219" s="3"/>
      <c r="G219" s="3"/>
      <c r="H219" s="3"/>
      <c r="I219" s="6"/>
      <c r="J219" s="3"/>
      <c r="K219" s="7"/>
      <c r="L219" s="13" t="str">
        <f>IF(C219="","",IF(COUNTIFS(Parametry!$C$54:$C$113,E219)=1,INDEX(Parametry!$D$54:$D$113,MATCH(E219,Parametry!$C$54:$C$113,0)),""))</f>
        <v/>
      </c>
      <c r="M219" s="7">
        <f t="shared" si="9"/>
        <v>0</v>
      </c>
      <c r="N219" s="13">
        <f>IF(AND(ISNUMBER(D219),ISNUMBER(Parametry!$G$6)),IF(AND(YEAR(D219)=Parametry!$G$6,M219&lt;=Parametry!$G$7),1,0),0)</f>
        <v>0</v>
      </c>
      <c r="O219" s="13">
        <f>IF(C219="",IF(COUNTA(D219:J219)&gt;0,1,0),IF(OR(COUNTIFS($C$9:$C$1008,C219)&lt;&gt;1,NOT(ISNUMBER(D219)),NOT(ISNUMBER(I219)),L219="",AND(F219&lt;&gt;"",COUNTIFS(Umowy!$C$9:$C$108,F219,Umowy!$D$9:$D$108,L219)&lt;&gt;1)),1,0))</f>
        <v>0</v>
      </c>
      <c r="P219" s="7" t="str">
        <f t="shared" si="10"/>
        <v/>
      </c>
      <c r="Q219" s="7" t="str">
        <f t="shared" si="11"/>
        <v/>
      </c>
    </row>
    <row r="220" spans="1:17" ht="24" customHeight="1">
      <c r="A220" s="7"/>
      <c r="B220" s="7"/>
      <c r="C220" s="3"/>
      <c r="D220" s="2"/>
      <c r="E220" s="3"/>
      <c r="F220" s="3"/>
      <c r="G220" s="3"/>
      <c r="H220" s="3"/>
      <c r="I220" s="6"/>
      <c r="J220" s="3"/>
      <c r="K220" s="7"/>
      <c r="L220" s="13" t="str">
        <f>IF(C220="","",IF(COUNTIFS(Parametry!$C$54:$C$113,E220)=1,INDEX(Parametry!$D$54:$D$113,MATCH(E220,Parametry!$C$54:$C$113,0)),""))</f>
        <v/>
      </c>
      <c r="M220" s="7">
        <f t="shared" si="9"/>
        <v>0</v>
      </c>
      <c r="N220" s="13">
        <f>IF(AND(ISNUMBER(D220),ISNUMBER(Parametry!$G$6)),IF(AND(YEAR(D220)=Parametry!$G$6,M220&lt;=Parametry!$G$7),1,0),0)</f>
        <v>0</v>
      </c>
      <c r="O220" s="13">
        <f>IF(C220="",IF(COUNTA(D220:J220)&gt;0,1,0),IF(OR(COUNTIFS($C$9:$C$1008,C220)&lt;&gt;1,NOT(ISNUMBER(D220)),NOT(ISNUMBER(I220)),L220="",AND(F220&lt;&gt;"",COUNTIFS(Umowy!$C$9:$C$108,F220,Umowy!$D$9:$D$108,L220)&lt;&gt;1)),1,0))</f>
        <v>0</v>
      </c>
      <c r="P220" s="7" t="str">
        <f t="shared" si="10"/>
        <v/>
      </c>
      <c r="Q220" s="7" t="str">
        <f t="shared" si="11"/>
        <v/>
      </c>
    </row>
    <row r="221" spans="1:17" ht="24" customHeight="1">
      <c r="A221" s="7"/>
      <c r="B221" s="7"/>
      <c r="C221" s="3"/>
      <c r="D221" s="2"/>
      <c r="E221" s="3"/>
      <c r="F221" s="3"/>
      <c r="G221" s="3"/>
      <c r="H221" s="3"/>
      <c r="I221" s="6"/>
      <c r="J221" s="3"/>
      <c r="K221" s="7"/>
      <c r="L221" s="13" t="str">
        <f>IF(C221="","",IF(COUNTIFS(Parametry!$C$54:$C$113,E221)=1,INDEX(Parametry!$D$54:$D$113,MATCH(E221,Parametry!$C$54:$C$113,0)),""))</f>
        <v/>
      </c>
      <c r="M221" s="7">
        <f t="shared" si="9"/>
        <v>0</v>
      </c>
      <c r="N221" s="13">
        <f>IF(AND(ISNUMBER(D221),ISNUMBER(Parametry!$G$6)),IF(AND(YEAR(D221)=Parametry!$G$6,M221&lt;=Parametry!$G$7),1,0),0)</f>
        <v>0</v>
      </c>
      <c r="O221" s="13">
        <f>IF(C221="",IF(COUNTA(D221:J221)&gt;0,1,0),IF(OR(COUNTIFS($C$9:$C$1008,C221)&lt;&gt;1,NOT(ISNUMBER(D221)),NOT(ISNUMBER(I221)),L221="",AND(F221&lt;&gt;"",COUNTIFS(Umowy!$C$9:$C$108,F221,Umowy!$D$9:$D$108,L221)&lt;&gt;1)),1,0))</f>
        <v>0</v>
      </c>
      <c r="P221" s="7" t="str">
        <f t="shared" si="10"/>
        <v/>
      </c>
      <c r="Q221" s="7" t="str">
        <f t="shared" si="11"/>
        <v/>
      </c>
    </row>
    <row r="222" spans="1:17" ht="24" customHeight="1">
      <c r="A222" s="7"/>
      <c r="B222" s="7"/>
      <c r="C222" s="3"/>
      <c r="D222" s="2"/>
      <c r="E222" s="3"/>
      <c r="F222" s="3"/>
      <c r="G222" s="3"/>
      <c r="H222" s="3"/>
      <c r="I222" s="6"/>
      <c r="J222" s="3"/>
      <c r="K222" s="7"/>
      <c r="L222" s="13" t="str">
        <f>IF(C222="","",IF(COUNTIFS(Parametry!$C$54:$C$113,E222)=1,INDEX(Parametry!$D$54:$D$113,MATCH(E222,Parametry!$C$54:$C$113,0)),""))</f>
        <v/>
      </c>
      <c r="M222" s="7">
        <f t="shared" si="9"/>
        <v>0</v>
      </c>
      <c r="N222" s="13">
        <f>IF(AND(ISNUMBER(D222),ISNUMBER(Parametry!$G$6)),IF(AND(YEAR(D222)=Parametry!$G$6,M222&lt;=Parametry!$G$7),1,0),0)</f>
        <v>0</v>
      </c>
      <c r="O222" s="13">
        <f>IF(C222="",IF(COUNTA(D222:J222)&gt;0,1,0),IF(OR(COUNTIFS($C$9:$C$1008,C222)&lt;&gt;1,NOT(ISNUMBER(D222)),NOT(ISNUMBER(I222)),L222="",AND(F222&lt;&gt;"",COUNTIFS(Umowy!$C$9:$C$108,F222,Umowy!$D$9:$D$108,L222)&lt;&gt;1)),1,0))</f>
        <v>0</v>
      </c>
      <c r="P222" s="7" t="str">
        <f t="shared" si="10"/>
        <v/>
      </c>
      <c r="Q222" s="7" t="str">
        <f t="shared" si="11"/>
        <v/>
      </c>
    </row>
    <row r="223" spans="1:17" ht="24" customHeight="1">
      <c r="A223" s="7"/>
      <c r="B223" s="7"/>
      <c r="C223" s="3"/>
      <c r="D223" s="2"/>
      <c r="E223" s="3"/>
      <c r="F223" s="3"/>
      <c r="G223" s="3"/>
      <c r="H223" s="3"/>
      <c r="I223" s="6"/>
      <c r="J223" s="3"/>
      <c r="K223" s="7"/>
      <c r="L223" s="13" t="str">
        <f>IF(C223="","",IF(COUNTIFS(Parametry!$C$54:$C$113,E223)=1,INDEX(Parametry!$D$54:$D$113,MATCH(E223,Parametry!$C$54:$C$113,0)),""))</f>
        <v/>
      </c>
      <c r="M223" s="7">
        <f t="shared" si="9"/>
        <v>0</v>
      </c>
      <c r="N223" s="13">
        <f>IF(AND(ISNUMBER(D223),ISNUMBER(Parametry!$G$6)),IF(AND(YEAR(D223)=Parametry!$G$6,M223&lt;=Parametry!$G$7),1,0),0)</f>
        <v>0</v>
      </c>
      <c r="O223" s="13">
        <f>IF(C223="",IF(COUNTA(D223:J223)&gt;0,1,0),IF(OR(COUNTIFS($C$9:$C$1008,C223)&lt;&gt;1,NOT(ISNUMBER(D223)),NOT(ISNUMBER(I223)),L223="",AND(F223&lt;&gt;"",COUNTIFS(Umowy!$C$9:$C$108,F223,Umowy!$D$9:$D$108,L223)&lt;&gt;1)),1,0))</f>
        <v>0</v>
      </c>
      <c r="P223" s="7" t="str">
        <f t="shared" si="10"/>
        <v/>
      </c>
      <c r="Q223" s="7" t="str">
        <f t="shared" si="11"/>
        <v/>
      </c>
    </row>
    <row r="224" spans="1:17" ht="24" customHeight="1">
      <c r="A224" s="7"/>
      <c r="B224" s="7"/>
      <c r="C224" s="3"/>
      <c r="D224" s="2"/>
      <c r="E224" s="3"/>
      <c r="F224" s="3"/>
      <c r="G224" s="3"/>
      <c r="H224" s="3"/>
      <c r="I224" s="6"/>
      <c r="J224" s="3"/>
      <c r="K224" s="7"/>
      <c r="L224" s="13" t="str">
        <f>IF(C224="","",IF(COUNTIFS(Parametry!$C$54:$C$113,E224)=1,INDEX(Parametry!$D$54:$D$113,MATCH(E224,Parametry!$C$54:$C$113,0)),""))</f>
        <v/>
      </c>
      <c r="M224" s="7">
        <f t="shared" si="9"/>
        <v>0</v>
      </c>
      <c r="N224" s="13">
        <f>IF(AND(ISNUMBER(D224),ISNUMBER(Parametry!$G$6)),IF(AND(YEAR(D224)=Parametry!$G$6,M224&lt;=Parametry!$G$7),1,0),0)</f>
        <v>0</v>
      </c>
      <c r="O224" s="13">
        <f>IF(C224="",IF(COUNTA(D224:J224)&gt;0,1,0),IF(OR(COUNTIFS($C$9:$C$1008,C224)&lt;&gt;1,NOT(ISNUMBER(D224)),NOT(ISNUMBER(I224)),L224="",AND(F224&lt;&gt;"",COUNTIFS(Umowy!$C$9:$C$108,F224,Umowy!$D$9:$D$108,L224)&lt;&gt;1)),1,0))</f>
        <v>0</v>
      </c>
      <c r="P224" s="7" t="str">
        <f t="shared" si="10"/>
        <v/>
      </c>
      <c r="Q224" s="7" t="str">
        <f t="shared" si="11"/>
        <v/>
      </c>
    </row>
    <row r="225" spans="1:17" ht="24" customHeight="1">
      <c r="A225" s="7"/>
      <c r="B225" s="7"/>
      <c r="C225" s="3"/>
      <c r="D225" s="2"/>
      <c r="E225" s="3"/>
      <c r="F225" s="3"/>
      <c r="G225" s="3"/>
      <c r="H225" s="3"/>
      <c r="I225" s="6"/>
      <c r="J225" s="3"/>
      <c r="K225" s="7"/>
      <c r="L225" s="13" t="str">
        <f>IF(C225="","",IF(COUNTIFS(Parametry!$C$54:$C$113,E225)=1,INDEX(Parametry!$D$54:$D$113,MATCH(E225,Parametry!$C$54:$C$113,0)),""))</f>
        <v/>
      </c>
      <c r="M225" s="7">
        <f t="shared" si="9"/>
        <v>0</v>
      </c>
      <c r="N225" s="13">
        <f>IF(AND(ISNUMBER(D225),ISNUMBER(Parametry!$G$6)),IF(AND(YEAR(D225)=Parametry!$G$6,M225&lt;=Parametry!$G$7),1,0),0)</f>
        <v>0</v>
      </c>
      <c r="O225" s="13">
        <f>IF(C225="",IF(COUNTA(D225:J225)&gt;0,1,0),IF(OR(COUNTIFS($C$9:$C$1008,C225)&lt;&gt;1,NOT(ISNUMBER(D225)),NOT(ISNUMBER(I225)),L225="",AND(F225&lt;&gt;"",COUNTIFS(Umowy!$C$9:$C$108,F225,Umowy!$D$9:$D$108,L225)&lt;&gt;1)),1,0))</f>
        <v>0</v>
      </c>
      <c r="P225" s="7" t="str">
        <f t="shared" si="10"/>
        <v/>
      </c>
      <c r="Q225" s="7" t="str">
        <f t="shared" si="11"/>
        <v/>
      </c>
    </row>
    <row r="226" spans="1:17" ht="24" customHeight="1">
      <c r="A226" s="7"/>
      <c r="B226" s="7"/>
      <c r="C226" s="3"/>
      <c r="D226" s="2"/>
      <c r="E226" s="3"/>
      <c r="F226" s="3"/>
      <c r="G226" s="3"/>
      <c r="H226" s="3"/>
      <c r="I226" s="6"/>
      <c r="J226" s="3"/>
      <c r="K226" s="7"/>
      <c r="L226" s="13" t="str">
        <f>IF(C226="","",IF(COUNTIFS(Parametry!$C$54:$C$113,E226)=1,INDEX(Parametry!$D$54:$D$113,MATCH(E226,Parametry!$C$54:$C$113,0)),""))</f>
        <v/>
      </c>
      <c r="M226" s="7">
        <f t="shared" si="9"/>
        <v>0</v>
      </c>
      <c r="N226" s="13">
        <f>IF(AND(ISNUMBER(D226),ISNUMBER(Parametry!$G$6)),IF(AND(YEAR(D226)=Parametry!$G$6,M226&lt;=Parametry!$G$7),1,0),0)</f>
        <v>0</v>
      </c>
      <c r="O226" s="13">
        <f>IF(C226="",IF(COUNTA(D226:J226)&gt;0,1,0),IF(OR(COUNTIFS($C$9:$C$1008,C226)&lt;&gt;1,NOT(ISNUMBER(D226)),NOT(ISNUMBER(I226)),L226="",AND(F226&lt;&gt;"",COUNTIFS(Umowy!$C$9:$C$108,F226,Umowy!$D$9:$D$108,L226)&lt;&gt;1)),1,0))</f>
        <v>0</v>
      </c>
      <c r="P226" s="7" t="str">
        <f t="shared" si="10"/>
        <v/>
      </c>
      <c r="Q226" s="7" t="str">
        <f t="shared" si="11"/>
        <v/>
      </c>
    </row>
    <row r="227" spans="1:17" ht="24" customHeight="1">
      <c r="A227" s="7"/>
      <c r="B227" s="7"/>
      <c r="C227" s="3"/>
      <c r="D227" s="2"/>
      <c r="E227" s="3"/>
      <c r="F227" s="3"/>
      <c r="G227" s="3"/>
      <c r="H227" s="3"/>
      <c r="I227" s="6"/>
      <c r="J227" s="3"/>
      <c r="K227" s="7"/>
      <c r="L227" s="13" t="str">
        <f>IF(C227="","",IF(COUNTIFS(Parametry!$C$54:$C$113,E227)=1,INDEX(Parametry!$D$54:$D$113,MATCH(E227,Parametry!$C$54:$C$113,0)),""))</f>
        <v/>
      </c>
      <c r="M227" s="7">
        <f t="shared" si="9"/>
        <v>0</v>
      </c>
      <c r="N227" s="13">
        <f>IF(AND(ISNUMBER(D227),ISNUMBER(Parametry!$G$6)),IF(AND(YEAR(D227)=Parametry!$G$6,M227&lt;=Parametry!$G$7),1,0),0)</f>
        <v>0</v>
      </c>
      <c r="O227" s="13">
        <f>IF(C227="",IF(COUNTA(D227:J227)&gt;0,1,0),IF(OR(COUNTIFS($C$9:$C$1008,C227)&lt;&gt;1,NOT(ISNUMBER(D227)),NOT(ISNUMBER(I227)),L227="",AND(F227&lt;&gt;"",COUNTIFS(Umowy!$C$9:$C$108,F227,Umowy!$D$9:$D$108,L227)&lt;&gt;1)),1,0))</f>
        <v>0</v>
      </c>
      <c r="P227" s="7" t="str">
        <f t="shared" si="10"/>
        <v/>
      </c>
      <c r="Q227" s="7" t="str">
        <f t="shared" si="11"/>
        <v/>
      </c>
    </row>
    <row r="228" spans="1:17" ht="24" customHeight="1">
      <c r="A228" s="7"/>
      <c r="B228" s="7"/>
      <c r="C228" s="3"/>
      <c r="D228" s="2"/>
      <c r="E228" s="3"/>
      <c r="F228" s="3"/>
      <c r="G228" s="3"/>
      <c r="H228" s="3"/>
      <c r="I228" s="6"/>
      <c r="J228" s="3"/>
      <c r="K228" s="7"/>
      <c r="L228" s="13" t="str">
        <f>IF(C228="","",IF(COUNTIFS(Parametry!$C$54:$C$113,E228)=1,INDEX(Parametry!$D$54:$D$113,MATCH(E228,Parametry!$C$54:$C$113,0)),""))</f>
        <v/>
      </c>
      <c r="M228" s="7">
        <f t="shared" si="9"/>
        <v>0</v>
      </c>
      <c r="N228" s="13">
        <f>IF(AND(ISNUMBER(D228),ISNUMBER(Parametry!$G$6)),IF(AND(YEAR(D228)=Parametry!$G$6,M228&lt;=Parametry!$G$7),1,0),0)</f>
        <v>0</v>
      </c>
      <c r="O228" s="13">
        <f>IF(C228="",IF(COUNTA(D228:J228)&gt;0,1,0),IF(OR(COUNTIFS($C$9:$C$1008,C228)&lt;&gt;1,NOT(ISNUMBER(D228)),NOT(ISNUMBER(I228)),L228="",AND(F228&lt;&gt;"",COUNTIFS(Umowy!$C$9:$C$108,F228,Umowy!$D$9:$D$108,L228)&lt;&gt;1)),1,0))</f>
        <v>0</v>
      </c>
      <c r="P228" s="7" t="str">
        <f t="shared" si="10"/>
        <v/>
      </c>
      <c r="Q228" s="7" t="str">
        <f t="shared" si="11"/>
        <v/>
      </c>
    </row>
    <row r="229" spans="1:17" ht="24" customHeight="1">
      <c r="A229" s="7"/>
      <c r="B229" s="7"/>
      <c r="C229" s="3"/>
      <c r="D229" s="2"/>
      <c r="E229" s="3"/>
      <c r="F229" s="3"/>
      <c r="G229" s="3"/>
      <c r="H229" s="3"/>
      <c r="I229" s="6"/>
      <c r="J229" s="3"/>
      <c r="K229" s="7"/>
      <c r="L229" s="13" t="str">
        <f>IF(C229="","",IF(COUNTIFS(Parametry!$C$54:$C$113,E229)=1,INDEX(Parametry!$D$54:$D$113,MATCH(E229,Parametry!$C$54:$C$113,0)),""))</f>
        <v/>
      </c>
      <c r="M229" s="7">
        <f t="shared" si="9"/>
        <v>0</v>
      </c>
      <c r="N229" s="13">
        <f>IF(AND(ISNUMBER(D229),ISNUMBER(Parametry!$G$6)),IF(AND(YEAR(D229)=Parametry!$G$6,M229&lt;=Parametry!$G$7),1,0),0)</f>
        <v>0</v>
      </c>
      <c r="O229" s="13">
        <f>IF(C229="",IF(COUNTA(D229:J229)&gt;0,1,0),IF(OR(COUNTIFS($C$9:$C$1008,C229)&lt;&gt;1,NOT(ISNUMBER(D229)),NOT(ISNUMBER(I229)),L229="",AND(F229&lt;&gt;"",COUNTIFS(Umowy!$C$9:$C$108,F229,Umowy!$D$9:$D$108,L229)&lt;&gt;1)),1,0))</f>
        <v>0</v>
      </c>
      <c r="P229" s="7" t="str">
        <f t="shared" si="10"/>
        <v/>
      </c>
      <c r="Q229" s="7" t="str">
        <f t="shared" si="11"/>
        <v/>
      </c>
    </row>
    <row r="230" spans="1:17" ht="24" customHeight="1">
      <c r="A230" s="7"/>
      <c r="B230" s="7"/>
      <c r="C230" s="3"/>
      <c r="D230" s="2"/>
      <c r="E230" s="3"/>
      <c r="F230" s="3"/>
      <c r="G230" s="3"/>
      <c r="H230" s="3"/>
      <c r="I230" s="6"/>
      <c r="J230" s="3"/>
      <c r="K230" s="7"/>
      <c r="L230" s="13" t="str">
        <f>IF(C230="","",IF(COUNTIFS(Parametry!$C$54:$C$113,E230)=1,INDEX(Parametry!$D$54:$D$113,MATCH(E230,Parametry!$C$54:$C$113,0)),""))</f>
        <v/>
      </c>
      <c r="M230" s="7">
        <f t="shared" si="9"/>
        <v>0</v>
      </c>
      <c r="N230" s="13">
        <f>IF(AND(ISNUMBER(D230),ISNUMBER(Parametry!$G$6)),IF(AND(YEAR(D230)=Parametry!$G$6,M230&lt;=Parametry!$G$7),1,0),0)</f>
        <v>0</v>
      </c>
      <c r="O230" s="13">
        <f>IF(C230="",IF(COUNTA(D230:J230)&gt;0,1,0),IF(OR(COUNTIFS($C$9:$C$1008,C230)&lt;&gt;1,NOT(ISNUMBER(D230)),NOT(ISNUMBER(I230)),L230="",AND(F230&lt;&gt;"",COUNTIFS(Umowy!$C$9:$C$108,F230,Umowy!$D$9:$D$108,L230)&lt;&gt;1)),1,0))</f>
        <v>0</v>
      </c>
      <c r="P230" s="7" t="str">
        <f t="shared" si="10"/>
        <v/>
      </c>
      <c r="Q230" s="7" t="str">
        <f t="shared" si="11"/>
        <v/>
      </c>
    </row>
    <row r="231" spans="1:17" ht="24" customHeight="1">
      <c r="A231" s="7"/>
      <c r="B231" s="7"/>
      <c r="C231" s="3"/>
      <c r="D231" s="2"/>
      <c r="E231" s="3"/>
      <c r="F231" s="3"/>
      <c r="G231" s="3"/>
      <c r="H231" s="3"/>
      <c r="I231" s="6"/>
      <c r="J231" s="3"/>
      <c r="K231" s="7"/>
      <c r="L231" s="13" t="str">
        <f>IF(C231="","",IF(COUNTIFS(Parametry!$C$54:$C$113,E231)=1,INDEX(Parametry!$D$54:$D$113,MATCH(E231,Parametry!$C$54:$C$113,0)),""))</f>
        <v/>
      </c>
      <c r="M231" s="7">
        <f t="shared" si="9"/>
        <v>0</v>
      </c>
      <c r="N231" s="13">
        <f>IF(AND(ISNUMBER(D231),ISNUMBER(Parametry!$G$6)),IF(AND(YEAR(D231)=Parametry!$G$6,M231&lt;=Parametry!$G$7),1,0),0)</f>
        <v>0</v>
      </c>
      <c r="O231" s="13">
        <f>IF(C231="",IF(COUNTA(D231:J231)&gt;0,1,0),IF(OR(COUNTIFS($C$9:$C$1008,C231)&lt;&gt;1,NOT(ISNUMBER(D231)),NOT(ISNUMBER(I231)),L231="",AND(F231&lt;&gt;"",COUNTIFS(Umowy!$C$9:$C$108,F231,Umowy!$D$9:$D$108,L231)&lt;&gt;1)),1,0))</f>
        <v>0</v>
      </c>
      <c r="P231" s="7" t="str">
        <f t="shared" si="10"/>
        <v/>
      </c>
      <c r="Q231" s="7" t="str">
        <f t="shared" si="11"/>
        <v/>
      </c>
    </row>
    <row r="232" spans="1:17" ht="24" customHeight="1">
      <c r="A232" s="7"/>
      <c r="B232" s="7"/>
      <c r="C232" s="3"/>
      <c r="D232" s="2"/>
      <c r="E232" s="3"/>
      <c r="F232" s="3"/>
      <c r="G232" s="3"/>
      <c r="H232" s="3"/>
      <c r="I232" s="6"/>
      <c r="J232" s="3"/>
      <c r="K232" s="7"/>
      <c r="L232" s="13" t="str">
        <f>IF(C232="","",IF(COUNTIFS(Parametry!$C$54:$C$113,E232)=1,INDEX(Parametry!$D$54:$D$113,MATCH(E232,Parametry!$C$54:$C$113,0)),""))</f>
        <v/>
      </c>
      <c r="M232" s="7">
        <f t="shared" si="9"/>
        <v>0</v>
      </c>
      <c r="N232" s="13">
        <f>IF(AND(ISNUMBER(D232),ISNUMBER(Parametry!$G$6)),IF(AND(YEAR(D232)=Parametry!$G$6,M232&lt;=Parametry!$G$7),1,0),0)</f>
        <v>0</v>
      </c>
      <c r="O232" s="13">
        <f>IF(C232="",IF(COUNTA(D232:J232)&gt;0,1,0),IF(OR(COUNTIFS($C$9:$C$1008,C232)&lt;&gt;1,NOT(ISNUMBER(D232)),NOT(ISNUMBER(I232)),L232="",AND(F232&lt;&gt;"",COUNTIFS(Umowy!$C$9:$C$108,F232,Umowy!$D$9:$D$108,L232)&lt;&gt;1)),1,0))</f>
        <v>0</v>
      </c>
      <c r="P232" s="7" t="str">
        <f t="shared" si="10"/>
        <v/>
      </c>
      <c r="Q232" s="7" t="str">
        <f t="shared" si="11"/>
        <v/>
      </c>
    </row>
    <row r="233" spans="1:17" ht="24" customHeight="1">
      <c r="A233" s="7"/>
      <c r="B233" s="7"/>
      <c r="C233" s="3"/>
      <c r="D233" s="2"/>
      <c r="E233" s="3"/>
      <c r="F233" s="3"/>
      <c r="G233" s="3"/>
      <c r="H233" s="3"/>
      <c r="I233" s="6"/>
      <c r="J233" s="3"/>
      <c r="K233" s="7"/>
      <c r="L233" s="13" t="str">
        <f>IF(C233="","",IF(COUNTIFS(Parametry!$C$54:$C$113,E233)=1,INDEX(Parametry!$D$54:$D$113,MATCH(E233,Parametry!$C$54:$C$113,0)),""))</f>
        <v/>
      </c>
      <c r="M233" s="7">
        <f t="shared" si="9"/>
        <v>0</v>
      </c>
      <c r="N233" s="13">
        <f>IF(AND(ISNUMBER(D233),ISNUMBER(Parametry!$G$6)),IF(AND(YEAR(D233)=Parametry!$G$6,M233&lt;=Parametry!$G$7),1,0),0)</f>
        <v>0</v>
      </c>
      <c r="O233" s="13">
        <f>IF(C233="",IF(COUNTA(D233:J233)&gt;0,1,0),IF(OR(COUNTIFS($C$9:$C$1008,C233)&lt;&gt;1,NOT(ISNUMBER(D233)),NOT(ISNUMBER(I233)),L233="",AND(F233&lt;&gt;"",COUNTIFS(Umowy!$C$9:$C$108,F233,Umowy!$D$9:$D$108,L233)&lt;&gt;1)),1,0))</f>
        <v>0</v>
      </c>
      <c r="P233" s="7" t="str">
        <f t="shared" si="10"/>
        <v/>
      </c>
      <c r="Q233" s="7" t="str">
        <f t="shared" si="11"/>
        <v/>
      </c>
    </row>
    <row r="234" spans="1:17" ht="24" customHeight="1">
      <c r="A234" s="7"/>
      <c r="B234" s="7"/>
      <c r="C234" s="3"/>
      <c r="D234" s="2"/>
      <c r="E234" s="3"/>
      <c r="F234" s="3"/>
      <c r="G234" s="3"/>
      <c r="H234" s="3"/>
      <c r="I234" s="6"/>
      <c r="J234" s="3"/>
      <c r="K234" s="7"/>
      <c r="L234" s="13" t="str">
        <f>IF(C234="","",IF(COUNTIFS(Parametry!$C$54:$C$113,E234)=1,INDEX(Parametry!$D$54:$D$113,MATCH(E234,Parametry!$C$54:$C$113,0)),""))</f>
        <v/>
      </c>
      <c r="M234" s="7">
        <f t="shared" si="9"/>
        <v>0</v>
      </c>
      <c r="N234" s="13">
        <f>IF(AND(ISNUMBER(D234),ISNUMBER(Parametry!$G$6)),IF(AND(YEAR(D234)=Parametry!$G$6,M234&lt;=Parametry!$G$7),1,0),0)</f>
        <v>0</v>
      </c>
      <c r="O234" s="13">
        <f>IF(C234="",IF(COUNTA(D234:J234)&gt;0,1,0),IF(OR(COUNTIFS($C$9:$C$1008,C234)&lt;&gt;1,NOT(ISNUMBER(D234)),NOT(ISNUMBER(I234)),L234="",AND(F234&lt;&gt;"",COUNTIFS(Umowy!$C$9:$C$108,F234,Umowy!$D$9:$D$108,L234)&lt;&gt;1)),1,0))</f>
        <v>0</v>
      </c>
      <c r="P234" s="7" t="str">
        <f t="shared" si="10"/>
        <v/>
      </c>
      <c r="Q234" s="7" t="str">
        <f t="shared" si="11"/>
        <v/>
      </c>
    </row>
    <row r="235" spans="1:17" ht="24" customHeight="1">
      <c r="A235" s="7"/>
      <c r="B235" s="7"/>
      <c r="C235" s="3"/>
      <c r="D235" s="2"/>
      <c r="E235" s="3"/>
      <c r="F235" s="3"/>
      <c r="G235" s="3"/>
      <c r="H235" s="3"/>
      <c r="I235" s="6"/>
      <c r="J235" s="3"/>
      <c r="K235" s="7"/>
      <c r="L235" s="13" t="str">
        <f>IF(C235="","",IF(COUNTIFS(Parametry!$C$54:$C$113,E235)=1,INDEX(Parametry!$D$54:$D$113,MATCH(E235,Parametry!$C$54:$C$113,0)),""))</f>
        <v/>
      </c>
      <c r="M235" s="7">
        <f t="shared" si="9"/>
        <v>0</v>
      </c>
      <c r="N235" s="13">
        <f>IF(AND(ISNUMBER(D235),ISNUMBER(Parametry!$G$6)),IF(AND(YEAR(D235)=Parametry!$G$6,M235&lt;=Parametry!$G$7),1,0),0)</f>
        <v>0</v>
      </c>
      <c r="O235" s="13">
        <f>IF(C235="",IF(COUNTA(D235:J235)&gt;0,1,0),IF(OR(COUNTIFS($C$9:$C$1008,C235)&lt;&gt;1,NOT(ISNUMBER(D235)),NOT(ISNUMBER(I235)),L235="",AND(F235&lt;&gt;"",COUNTIFS(Umowy!$C$9:$C$108,F235,Umowy!$D$9:$D$108,L235)&lt;&gt;1)),1,0))</f>
        <v>0</v>
      </c>
      <c r="P235" s="7" t="str">
        <f t="shared" si="10"/>
        <v/>
      </c>
      <c r="Q235" s="7" t="str">
        <f t="shared" si="11"/>
        <v/>
      </c>
    </row>
    <row r="236" spans="1:17" ht="24" customHeight="1">
      <c r="A236" s="7"/>
      <c r="B236" s="7"/>
      <c r="C236" s="3"/>
      <c r="D236" s="2"/>
      <c r="E236" s="3"/>
      <c r="F236" s="3"/>
      <c r="G236" s="3"/>
      <c r="H236" s="3"/>
      <c r="I236" s="6"/>
      <c r="J236" s="3"/>
      <c r="K236" s="7"/>
      <c r="L236" s="13" t="str">
        <f>IF(C236="","",IF(COUNTIFS(Parametry!$C$54:$C$113,E236)=1,INDEX(Parametry!$D$54:$D$113,MATCH(E236,Parametry!$C$54:$C$113,0)),""))</f>
        <v/>
      </c>
      <c r="M236" s="7">
        <f t="shared" si="9"/>
        <v>0</v>
      </c>
      <c r="N236" s="13">
        <f>IF(AND(ISNUMBER(D236),ISNUMBER(Parametry!$G$6)),IF(AND(YEAR(D236)=Parametry!$G$6,M236&lt;=Parametry!$G$7),1,0),0)</f>
        <v>0</v>
      </c>
      <c r="O236" s="13">
        <f>IF(C236="",IF(COUNTA(D236:J236)&gt;0,1,0),IF(OR(COUNTIFS($C$9:$C$1008,C236)&lt;&gt;1,NOT(ISNUMBER(D236)),NOT(ISNUMBER(I236)),L236="",AND(F236&lt;&gt;"",COUNTIFS(Umowy!$C$9:$C$108,F236,Umowy!$D$9:$D$108,L236)&lt;&gt;1)),1,0))</f>
        <v>0</v>
      </c>
      <c r="P236" s="7" t="str">
        <f t="shared" si="10"/>
        <v/>
      </c>
      <c r="Q236" s="7" t="str">
        <f t="shared" si="11"/>
        <v/>
      </c>
    </row>
    <row r="237" spans="1:17" ht="24" customHeight="1">
      <c r="A237" s="7"/>
      <c r="B237" s="7"/>
      <c r="C237" s="3"/>
      <c r="D237" s="2"/>
      <c r="E237" s="3"/>
      <c r="F237" s="3"/>
      <c r="G237" s="3"/>
      <c r="H237" s="3"/>
      <c r="I237" s="6"/>
      <c r="J237" s="3"/>
      <c r="K237" s="7"/>
      <c r="L237" s="13" t="str">
        <f>IF(C237="","",IF(COUNTIFS(Parametry!$C$54:$C$113,E237)=1,INDEX(Parametry!$D$54:$D$113,MATCH(E237,Parametry!$C$54:$C$113,0)),""))</f>
        <v/>
      </c>
      <c r="M237" s="7">
        <f t="shared" si="9"/>
        <v>0</v>
      </c>
      <c r="N237" s="13">
        <f>IF(AND(ISNUMBER(D237),ISNUMBER(Parametry!$G$6)),IF(AND(YEAR(D237)=Parametry!$G$6,M237&lt;=Parametry!$G$7),1,0),0)</f>
        <v>0</v>
      </c>
      <c r="O237" s="13">
        <f>IF(C237="",IF(COUNTA(D237:J237)&gt;0,1,0),IF(OR(COUNTIFS($C$9:$C$1008,C237)&lt;&gt;1,NOT(ISNUMBER(D237)),NOT(ISNUMBER(I237)),L237="",AND(F237&lt;&gt;"",COUNTIFS(Umowy!$C$9:$C$108,F237,Umowy!$D$9:$D$108,L237)&lt;&gt;1)),1,0))</f>
        <v>0</v>
      </c>
      <c r="P237" s="7" t="str">
        <f t="shared" si="10"/>
        <v/>
      </c>
      <c r="Q237" s="7" t="str">
        <f t="shared" si="11"/>
        <v/>
      </c>
    </row>
    <row r="238" spans="1:17" ht="24" customHeight="1">
      <c r="A238" s="7"/>
      <c r="B238" s="7"/>
      <c r="C238" s="3"/>
      <c r="D238" s="2"/>
      <c r="E238" s="3"/>
      <c r="F238" s="3"/>
      <c r="G238" s="3"/>
      <c r="H238" s="3"/>
      <c r="I238" s="6"/>
      <c r="J238" s="3"/>
      <c r="K238" s="7"/>
      <c r="L238" s="13" t="str">
        <f>IF(C238="","",IF(COUNTIFS(Parametry!$C$54:$C$113,E238)=1,INDEX(Parametry!$D$54:$D$113,MATCH(E238,Parametry!$C$54:$C$113,0)),""))</f>
        <v/>
      </c>
      <c r="M238" s="7">
        <f t="shared" si="9"/>
        <v>0</v>
      </c>
      <c r="N238" s="13">
        <f>IF(AND(ISNUMBER(D238),ISNUMBER(Parametry!$G$6)),IF(AND(YEAR(D238)=Parametry!$G$6,M238&lt;=Parametry!$G$7),1,0),0)</f>
        <v>0</v>
      </c>
      <c r="O238" s="13">
        <f>IF(C238="",IF(COUNTA(D238:J238)&gt;0,1,0),IF(OR(COUNTIFS($C$9:$C$1008,C238)&lt;&gt;1,NOT(ISNUMBER(D238)),NOT(ISNUMBER(I238)),L238="",AND(F238&lt;&gt;"",COUNTIFS(Umowy!$C$9:$C$108,F238,Umowy!$D$9:$D$108,L238)&lt;&gt;1)),1,0))</f>
        <v>0</v>
      </c>
      <c r="P238" s="7" t="str">
        <f t="shared" si="10"/>
        <v/>
      </c>
      <c r="Q238" s="7" t="str">
        <f t="shared" si="11"/>
        <v/>
      </c>
    </row>
    <row r="239" spans="1:17" ht="24" customHeight="1">
      <c r="A239" s="7"/>
      <c r="B239" s="7"/>
      <c r="C239" s="3"/>
      <c r="D239" s="2"/>
      <c r="E239" s="3"/>
      <c r="F239" s="3"/>
      <c r="G239" s="3"/>
      <c r="H239" s="3"/>
      <c r="I239" s="6"/>
      <c r="J239" s="3"/>
      <c r="K239" s="7"/>
      <c r="L239" s="13" t="str">
        <f>IF(C239="","",IF(COUNTIFS(Parametry!$C$54:$C$113,E239)=1,INDEX(Parametry!$D$54:$D$113,MATCH(E239,Parametry!$C$54:$C$113,0)),""))</f>
        <v/>
      </c>
      <c r="M239" s="7">
        <f t="shared" si="9"/>
        <v>0</v>
      </c>
      <c r="N239" s="13">
        <f>IF(AND(ISNUMBER(D239),ISNUMBER(Parametry!$G$6)),IF(AND(YEAR(D239)=Parametry!$G$6,M239&lt;=Parametry!$G$7),1,0),0)</f>
        <v>0</v>
      </c>
      <c r="O239" s="13">
        <f>IF(C239="",IF(COUNTA(D239:J239)&gt;0,1,0),IF(OR(COUNTIFS($C$9:$C$1008,C239)&lt;&gt;1,NOT(ISNUMBER(D239)),NOT(ISNUMBER(I239)),L239="",AND(F239&lt;&gt;"",COUNTIFS(Umowy!$C$9:$C$108,F239,Umowy!$D$9:$D$108,L239)&lt;&gt;1)),1,0))</f>
        <v>0</v>
      </c>
      <c r="P239" s="7" t="str">
        <f t="shared" si="10"/>
        <v/>
      </c>
      <c r="Q239" s="7" t="str">
        <f t="shared" si="11"/>
        <v/>
      </c>
    </row>
    <row r="240" spans="1:17" ht="24" customHeight="1">
      <c r="A240" s="7"/>
      <c r="B240" s="7"/>
      <c r="C240" s="3"/>
      <c r="D240" s="2"/>
      <c r="E240" s="3"/>
      <c r="F240" s="3"/>
      <c r="G240" s="3"/>
      <c r="H240" s="3"/>
      <c r="I240" s="6"/>
      <c r="J240" s="3"/>
      <c r="K240" s="7"/>
      <c r="L240" s="13" t="str">
        <f>IF(C240="","",IF(COUNTIFS(Parametry!$C$54:$C$113,E240)=1,INDEX(Parametry!$D$54:$D$113,MATCH(E240,Parametry!$C$54:$C$113,0)),""))</f>
        <v/>
      </c>
      <c r="M240" s="7">
        <f t="shared" si="9"/>
        <v>0</v>
      </c>
      <c r="N240" s="13">
        <f>IF(AND(ISNUMBER(D240),ISNUMBER(Parametry!$G$6)),IF(AND(YEAR(D240)=Parametry!$G$6,M240&lt;=Parametry!$G$7),1,0),0)</f>
        <v>0</v>
      </c>
      <c r="O240" s="13">
        <f>IF(C240="",IF(COUNTA(D240:J240)&gt;0,1,0),IF(OR(COUNTIFS($C$9:$C$1008,C240)&lt;&gt;1,NOT(ISNUMBER(D240)),NOT(ISNUMBER(I240)),L240="",AND(F240&lt;&gt;"",COUNTIFS(Umowy!$C$9:$C$108,F240,Umowy!$D$9:$D$108,L240)&lt;&gt;1)),1,0))</f>
        <v>0</v>
      </c>
      <c r="P240" s="7" t="str">
        <f t="shared" si="10"/>
        <v/>
      </c>
      <c r="Q240" s="7" t="str">
        <f t="shared" si="11"/>
        <v/>
      </c>
    </row>
    <row r="241" spans="1:17" ht="24" customHeight="1">
      <c r="A241" s="7"/>
      <c r="B241" s="7"/>
      <c r="C241" s="3"/>
      <c r="D241" s="2"/>
      <c r="E241" s="3"/>
      <c r="F241" s="3"/>
      <c r="G241" s="3"/>
      <c r="H241" s="3"/>
      <c r="I241" s="6"/>
      <c r="J241" s="3"/>
      <c r="K241" s="7"/>
      <c r="L241" s="13" t="str">
        <f>IF(C241="","",IF(COUNTIFS(Parametry!$C$54:$C$113,E241)=1,INDEX(Parametry!$D$54:$D$113,MATCH(E241,Parametry!$C$54:$C$113,0)),""))</f>
        <v/>
      </c>
      <c r="M241" s="7">
        <f t="shared" si="9"/>
        <v>0</v>
      </c>
      <c r="N241" s="13">
        <f>IF(AND(ISNUMBER(D241),ISNUMBER(Parametry!$G$6)),IF(AND(YEAR(D241)=Parametry!$G$6,M241&lt;=Parametry!$G$7),1,0),0)</f>
        <v>0</v>
      </c>
      <c r="O241" s="13">
        <f>IF(C241="",IF(COUNTA(D241:J241)&gt;0,1,0),IF(OR(COUNTIFS($C$9:$C$1008,C241)&lt;&gt;1,NOT(ISNUMBER(D241)),NOT(ISNUMBER(I241)),L241="",AND(F241&lt;&gt;"",COUNTIFS(Umowy!$C$9:$C$108,F241,Umowy!$D$9:$D$108,L241)&lt;&gt;1)),1,0))</f>
        <v>0</v>
      </c>
      <c r="P241" s="7" t="str">
        <f t="shared" si="10"/>
        <v/>
      </c>
      <c r="Q241" s="7" t="str">
        <f t="shared" si="11"/>
        <v/>
      </c>
    </row>
    <row r="242" spans="1:17" ht="24" customHeight="1">
      <c r="A242" s="7"/>
      <c r="B242" s="7"/>
      <c r="C242" s="3"/>
      <c r="D242" s="2"/>
      <c r="E242" s="3"/>
      <c r="F242" s="3"/>
      <c r="G242" s="3"/>
      <c r="H242" s="3"/>
      <c r="I242" s="6"/>
      <c r="J242" s="3"/>
      <c r="K242" s="7"/>
      <c r="L242" s="13" t="str">
        <f>IF(C242="","",IF(COUNTIFS(Parametry!$C$54:$C$113,E242)=1,INDEX(Parametry!$D$54:$D$113,MATCH(E242,Parametry!$C$54:$C$113,0)),""))</f>
        <v/>
      </c>
      <c r="M242" s="7">
        <f t="shared" si="9"/>
        <v>0</v>
      </c>
      <c r="N242" s="13">
        <f>IF(AND(ISNUMBER(D242),ISNUMBER(Parametry!$G$6)),IF(AND(YEAR(D242)=Parametry!$G$6,M242&lt;=Parametry!$G$7),1,0),0)</f>
        <v>0</v>
      </c>
      <c r="O242" s="13">
        <f>IF(C242="",IF(COUNTA(D242:J242)&gt;0,1,0),IF(OR(COUNTIFS($C$9:$C$1008,C242)&lt;&gt;1,NOT(ISNUMBER(D242)),NOT(ISNUMBER(I242)),L242="",AND(F242&lt;&gt;"",COUNTIFS(Umowy!$C$9:$C$108,F242,Umowy!$D$9:$D$108,L242)&lt;&gt;1)),1,0))</f>
        <v>0</v>
      </c>
      <c r="P242" s="7" t="str">
        <f t="shared" si="10"/>
        <v/>
      </c>
      <c r="Q242" s="7" t="str">
        <f t="shared" si="11"/>
        <v/>
      </c>
    </row>
    <row r="243" spans="1:17" ht="24" customHeight="1">
      <c r="A243" s="7"/>
      <c r="B243" s="7"/>
      <c r="C243" s="3"/>
      <c r="D243" s="2"/>
      <c r="E243" s="3"/>
      <c r="F243" s="3"/>
      <c r="G243" s="3"/>
      <c r="H243" s="3"/>
      <c r="I243" s="6"/>
      <c r="J243" s="3"/>
      <c r="K243" s="7"/>
      <c r="L243" s="13" t="str">
        <f>IF(C243="","",IF(COUNTIFS(Parametry!$C$54:$C$113,E243)=1,INDEX(Parametry!$D$54:$D$113,MATCH(E243,Parametry!$C$54:$C$113,0)),""))</f>
        <v/>
      </c>
      <c r="M243" s="7">
        <f t="shared" si="9"/>
        <v>0</v>
      </c>
      <c r="N243" s="13">
        <f>IF(AND(ISNUMBER(D243),ISNUMBER(Parametry!$G$6)),IF(AND(YEAR(D243)=Parametry!$G$6,M243&lt;=Parametry!$G$7),1,0),0)</f>
        <v>0</v>
      </c>
      <c r="O243" s="13">
        <f>IF(C243="",IF(COUNTA(D243:J243)&gt;0,1,0),IF(OR(COUNTIFS($C$9:$C$1008,C243)&lt;&gt;1,NOT(ISNUMBER(D243)),NOT(ISNUMBER(I243)),L243="",AND(F243&lt;&gt;"",COUNTIFS(Umowy!$C$9:$C$108,F243,Umowy!$D$9:$D$108,L243)&lt;&gt;1)),1,0))</f>
        <v>0</v>
      </c>
      <c r="P243" s="7" t="str">
        <f t="shared" si="10"/>
        <v/>
      </c>
      <c r="Q243" s="7" t="str">
        <f t="shared" si="11"/>
        <v/>
      </c>
    </row>
    <row r="244" spans="1:17" ht="24" customHeight="1">
      <c r="A244" s="7"/>
      <c r="B244" s="7"/>
      <c r="C244" s="3"/>
      <c r="D244" s="2"/>
      <c r="E244" s="3"/>
      <c r="F244" s="3"/>
      <c r="G244" s="3"/>
      <c r="H244" s="3"/>
      <c r="I244" s="6"/>
      <c r="J244" s="3"/>
      <c r="K244" s="7"/>
      <c r="L244" s="13" t="str">
        <f>IF(C244="","",IF(COUNTIFS(Parametry!$C$54:$C$113,E244)=1,INDEX(Parametry!$D$54:$D$113,MATCH(E244,Parametry!$C$54:$C$113,0)),""))</f>
        <v/>
      </c>
      <c r="M244" s="7">
        <f t="shared" si="9"/>
        <v>0</v>
      </c>
      <c r="N244" s="13">
        <f>IF(AND(ISNUMBER(D244),ISNUMBER(Parametry!$G$6)),IF(AND(YEAR(D244)=Parametry!$G$6,M244&lt;=Parametry!$G$7),1,0),0)</f>
        <v>0</v>
      </c>
      <c r="O244" s="13">
        <f>IF(C244="",IF(COUNTA(D244:J244)&gt;0,1,0),IF(OR(COUNTIFS($C$9:$C$1008,C244)&lt;&gt;1,NOT(ISNUMBER(D244)),NOT(ISNUMBER(I244)),L244="",AND(F244&lt;&gt;"",COUNTIFS(Umowy!$C$9:$C$108,F244,Umowy!$D$9:$D$108,L244)&lt;&gt;1)),1,0))</f>
        <v>0</v>
      </c>
      <c r="P244" s="7" t="str">
        <f t="shared" si="10"/>
        <v/>
      </c>
      <c r="Q244" s="7" t="str">
        <f t="shared" si="11"/>
        <v/>
      </c>
    </row>
    <row r="245" spans="1:17" ht="24" customHeight="1">
      <c r="A245" s="7"/>
      <c r="B245" s="7"/>
      <c r="C245" s="3"/>
      <c r="D245" s="2"/>
      <c r="E245" s="3"/>
      <c r="F245" s="3"/>
      <c r="G245" s="3"/>
      <c r="H245" s="3"/>
      <c r="I245" s="6"/>
      <c r="J245" s="3"/>
      <c r="K245" s="7"/>
      <c r="L245" s="13" t="str">
        <f>IF(C245="","",IF(COUNTIFS(Parametry!$C$54:$C$113,E245)=1,INDEX(Parametry!$D$54:$D$113,MATCH(E245,Parametry!$C$54:$C$113,0)),""))</f>
        <v/>
      </c>
      <c r="M245" s="7">
        <f t="shared" si="9"/>
        <v>0</v>
      </c>
      <c r="N245" s="13">
        <f>IF(AND(ISNUMBER(D245),ISNUMBER(Parametry!$G$6)),IF(AND(YEAR(D245)=Parametry!$G$6,M245&lt;=Parametry!$G$7),1,0),0)</f>
        <v>0</v>
      </c>
      <c r="O245" s="13">
        <f>IF(C245="",IF(COUNTA(D245:J245)&gt;0,1,0),IF(OR(COUNTIFS($C$9:$C$1008,C245)&lt;&gt;1,NOT(ISNUMBER(D245)),NOT(ISNUMBER(I245)),L245="",AND(F245&lt;&gt;"",COUNTIFS(Umowy!$C$9:$C$108,F245,Umowy!$D$9:$D$108,L245)&lt;&gt;1)),1,0))</f>
        <v>0</v>
      </c>
      <c r="P245" s="7" t="str">
        <f t="shared" si="10"/>
        <v/>
      </c>
      <c r="Q245" s="7" t="str">
        <f t="shared" si="11"/>
        <v/>
      </c>
    </row>
    <row r="246" spans="1:17" ht="24" customHeight="1">
      <c r="A246" s="7"/>
      <c r="B246" s="7"/>
      <c r="C246" s="3"/>
      <c r="D246" s="2"/>
      <c r="E246" s="3"/>
      <c r="F246" s="3"/>
      <c r="G246" s="3"/>
      <c r="H246" s="3"/>
      <c r="I246" s="6"/>
      <c r="J246" s="3"/>
      <c r="K246" s="7"/>
      <c r="L246" s="13" t="str">
        <f>IF(C246="","",IF(COUNTIFS(Parametry!$C$54:$C$113,E246)=1,INDEX(Parametry!$D$54:$D$113,MATCH(E246,Parametry!$C$54:$C$113,0)),""))</f>
        <v/>
      </c>
      <c r="M246" s="7">
        <f t="shared" si="9"/>
        <v>0</v>
      </c>
      <c r="N246" s="13">
        <f>IF(AND(ISNUMBER(D246),ISNUMBER(Parametry!$G$6)),IF(AND(YEAR(D246)=Parametry!$G$6,M246&lt;=Parametry!$G$7),1,0),0)</f>
        <v>0</v>
      </c>
      <c r="O246" s="13">
        <f>IF(C246="",IF(COUNTA(D246:J246)&gt;0,1,0),IF(OR(COUNTIFS($C$9:$C$1008,C246)&lt;&gt;1,NOT(ISNUMBER(D246)),NOT(ISNUMBER(I246)),L246="",AND(F246&lt;&gt;"",COUNTIFS(Umowy!$C$9:$C$108,F246,Umowy!$D$9:$D$108,L246)&lt;&gt;1)),1,0))</f>
        <v>0</v>
      </c>
      <c r="P246" s="7" t="str">
        <f t="shared" si="10"/>
        <v/>
      </c>
      <c r="Q246" s="7" t="str">
        <f t="shared" si="11"/>
        <v/>
      </c>
    </row>
    <row r="247" spans="1:17" ht="24" customHeight="1">
      <c r="A247" s="7"/>
      <c r="B247" s="7"/>
      <c r="C247" s="3"/>
      <c r="D247" s="2"/>
      <c r="E247" s="3"/>
      <c r="F247" s="3"/>
      <c r="G247" s="3"/>
      <c r="H247" s="3"/>
      <c r="I247" s="6"/>
      <c r="J247" s="3"/>
      <c r="K247" s="7"/>
      <c r="L247" s="13" t="str">
        <f>IF(C247="","",IF(COUNTIFS(Parametry!$C$54:$C$113,E247)=1,INDEX(Parametry!$D$54:$D$113,MATCH(E247,Parametry!$C$54:$C$113,0)),""))</f>
        <v/>
      </c>
      <c r="M247" s="7">
        <f t="shared" si="9"/>
        <v>0</v>
      </c>
      <c r="N247" s="13">
        <f>IF(AND(ISNUMBER(D247),ISNUMBER(Parametry!$G$6)),IF(AND(YEAR(D247)=Parametry!$G$6,M247&lt;=Parametry!$G$7),1,0),0)</f>
        <v>0</v>
      </c>
      <c r="O247" s="13">
        <f>IF(C247="",IF(COUNTA(D247:J247)&gt;0,1,0),IF(OR(COUNTIFS($C$9:$C$1008,C247)&lt;&gt;1,NOT(ISNUMBER(D247)),NOT(ISNUMBER(I247)),L247="",AND(F247&lt;&gt;"",COUNTIFS(Umowy!$C$9:$C$108,F247,Umowy!$D$9:$D$108,L247)&lt;&gt;1)),1,0))</f>
        <v>0</v>
      </c>
      <c r="P247" s="7" t="str">
        <f t="shared" si="10"/>
        <v/>
      </c>
      <c r="Q247" s="7" t="str">
        <f t="shared" si="11"/>
        <v/>
      </c>
    </row>
    <row r="248" spans="1:17" ht="24" customHeight="1">
      <c r="A248" s="7"/>
      <c r="B248" s="7"/>
      <c r="C248" s="3"/>
      <c r="D248" s="2"/>
      <c r="E248" s="3"/>
      <c r="F248" s="3"/>
      <c r="G248" s="3"/>
      <c r="H248" s="3"/>
      <c r="I248" s="6"/>
      <c r="J248" s="3"/>
      <c r="K248" s="7"/>
      <c r="L248" s="13" t="str">
        <f>IF(C248="","",IF(COUNTIFS(Parametry!$C$54:$C$113,E248)=1,INDEX(Parametry!$D$54:$D$113,MATCH(E248,Parametry!$C$54:$C$113,0)),""))</f>
        <v/>
      </c>
      <c r="M248" s="7">
        <f t="shared" si="9"/>
        <v>0</v>
      </c>
      <c r="N248" s="13">
        <f>IF(AND(ISNUMBER(D248),ISNUMBER(Parametry!$G$6)),IF(AND(YEAR(D248)=Parametry!$G$6,M248&lt;=Parametry!$G$7),1,0),0)</f>
        <v>0</v>
      </c>
      <c r="O248" s="13">
        <f>IF(C248="",IF(COUNTA(D248:J248)&gt;0,1,0),IF(OR(COUNTIFS($C$9:$C$1008,C248)&lt;&gt;1,NOT(ISNUMBER(D248)),NOT(ISNUMBER(I248)),L248="",AND(F248&lt;&gt;"",COUNTIFS(Umowy!$C$9:$C$108,F248,Umowy!$D$9:$D$108,L248)&lt;&gt;1)),1,0))</f>
        <v>0</v>
      </c>
      <c r="P248" s="7" t="str">
        <f t="shared" si="10"/>
        <v/>
      </c>
      <c r="Q248" s="7" t="str">
        <f t="shared" si="11"/>
        <v/>
      </c>
    </row>
    <row r="249" spans="1:17" ht="24" customHeight="1">
      <c r="A249" s="7"/>
      <c r="B249" s="7"/>
      <c r="C249" s="3"/>
      <c r="D249" s="2"/>
      <c r="E249" s="3"/>
      <c r="F249" s="3"/>
      <c r="G249" s="3"/>
      <c r="H249" s="3"/>
      <c r="I249" s="6"/>
      <c r="J249" s="3"/>
      <c r="K249" s="7"/>
      <c r="L249" s="13" t="str">
        <f>IF(C249="","",IF(COUNTIFS(Parametry!$C$54:$C$113,E249)=1,INDEX(Parametry!$D$54:$D$113,MATCH(E249,Parametry!$C$54:$C$113,0)),""))</f>
        <v/>
      </c>
      <c r="M249" s="7">
        <f t="shared" si="9"/>
        <v>0</v>
      </c>
      <c r="N249" s="13">
        <f>IF(AND(ISNUMBER(D249),ISNUMBER(Parametry!$G$6)),IF(AND(YEAR(D249)=Parametry!$G$6,M249&lt;=Parametry!$G$7),1,0),0)</f>
        <v>0</v>
      </c>
      <c r="O249" s="13">
        <f>IF(C249="",IF(COUNTA(D249:J249)&gt;0,1,0),IF(OR(COUNTIFS($C$9:$C$1008,C249)&lt;&gt;1,NOT(ISNUMBER(D249)),NOT(ISNUMBER(I249)),L249="",AND(F249&lt;&gt;"",COUNTIFS(Umowy!$C$9:$C$108,F249,Umowy!$D$9:$D$108,L249)&lt;&gt;1)),1,0))</f>
        <v>0</v>
      </c>
      <c r="P249" s="7" t="str">
        <f t="shared" si="10"/>
        <v/>
      </c>
      <c r="Q249" s="7" t="str">
        <f t="shared" si="11"/>
        <v/>
      </c>
    </row>
    <row r="250" spans="1:17" ht="24" customHeight="1">
      <c r="A250" s="7"/>
      <c r="B250" s="7"/>
      <c r="C250" s="3"/>
      <c r="D250" s="2"/>
      <c r="E250" s="3"/>
      <c r="F250" s="3"/>
      <c r="G250" s="3"/>
      <c r="H250" s="3"/>
      <c r="I250" s="6"/>
      <c r="J250" s="3"/>
      <c r="K250" s="7"/>
      <c r="L250" s="13" t="str">
        <f>IF(C250="","",IF(COUNTIFS(Parametry!$C$54:$C$113,E250)=1,INDEX(Parametry!$D$54:$D$113,MATCH(E250,Parametry!$C$54:$C$113,0)),""))</f>
        <v/>
      </c>
      <c r="M250" s="7">
        <f t="shared" si="9"/>
        <v>0</v>
      </c>
      <c r="N250" s="13">
        <f>IF(AND(ISNUMBER(D250),ISNUMBER(Parametry!$G$6)),IF(AND(YEAR(D250)=Parametry!$G$6,M250&lt;=Parametry!$G$7),1,0),0)</f>
        <v>0</v>
      </c>
      <c r="O250" s="13">
        <f>IF(C250="",IF(COUNTA(D250:J250)&gt;0,1,0),IF(OR(COUNTIFS($C$9:$C$1008,C250)&lt;&gt;1,NOT(ISNUMBER(D250)),NOT(ISNUMBER(I250)),L250="",AND(F250&lt;&gt;"",COUNTIFS(Umowy!$C$9:$C$108,F250,Umowy!$D$9:$D$108,L250)&lt;&gt;1)),1,0))</f>
        <v>0</v>
      </c>
      <c r="P250" s="7" t="str">
        <f t="shared" si="10"/>
        <v/>
      </c>
      <c r="Q250" s="7" t="str">
        <f t="shared" si="11"/>
        <v/>
      </c>
    </row>
    <row r="251" spans="1:17" ht="24" customHeight="1">
      <c r="A251" s="7"/>
      <c r="B251" s="7"/>
      <c r="C251" s="3"/>
      <c r="D251" s="2"/>
      <c r="E251" s="3"/>
      <c r="F251" s="3"/>
      <c r="G251" s="3"/>
      <c r="H251" s="3"/>
      <c r="I251" s="6"/>
      <c r="J251" s="3"/>
      <c r="K251" s="7"/>
      <c r="L251" s="13" t="str">
        <f>IF(C251="","",IF(COUNTIFS(Parametry!$C$54:$C$113,E251)=1,INDEX(Parametry!$D$54:$D$113,MATCH(E251,Parametry!$C$54:$C$113,0)),""))</f>
        <v/>
      </c>
      <c r="M251" s="7">
        <f t="shared" si="9"/>
        <v>0</v>
      </c>
      <c r="N251" s="13">
        <f>IF(AND(ISNUMBER(D251),ISNUMBER(Parametry!$G$6)),IF(AND(YEAR(D251)=Parametry!$G$6,M251&lt;=Parametry!$G$7),1,0),0)</f>
        <v>0</v>
      </c>
      <c r="O251" s="13">
        <f>IF(C251="",IF(COUNTA(D251:J251)&gt;0,1,0),IF(OR(COUNTIFS($C$9:$C$1008,C251)&lt;&gt;1,NOT(ISNUMBER(D251)),NOT(ISNUMBER(I251)),L251="",AND(F251&lt;&gt;"",COUNTIFS(Umowy!$C$9:$C$108,F251,Umowy!$D$9:$D$108,L251)&lt;&gt;1)),1,0))</f>
        <v>0</v>
      </c>
      <c r="P251" s="7" t="str">
        <f t="shared" si="10"/>
        <v/>
      </c>
      <c r="Q251" s="7" t="str">
        <f t="shared" si="11"/>
        <v/>
      </c>
    </row>
    <row r="252" spans="1:17" ht="24" customHeight="1">
      <c r="A252" s="7"/>
      <c r="B252" s="7"/>
      <c r="C252" s="3"/>
      <c r="D252" s="2"/>
      <c r="E252" s="3"/>
      <c r="F252" s="3"/>
      <c r="G252" s="3"/>
      <c r="H252" s="3"/>
      <c r="I252" s="6"/>
      <c r="J252" s="3"/>
      <c r="K252" s="7"/>
      <c r="L252" s="13" t="str">
        <f>IF(C252="","",IF(COUNTIFS(Parametry!$C$54:$C$113,E252)=1,INDEX(Parametry!$D$54:$D$113,MATCH(E252,Parametry!$C$54:$C$113,0)),""))</f>
        <v/>
      </c>
      <c r="M252" s="7">
        <f t="shared" si="9"/>
        <v>0</v>
      </c>
      <c r="N252" s="13">
        <f>IF(AND(ISNUMBER(D252),ISNUMBER(Parametry!$G$6)),IF(AND(YEAR(D252)=Parametry!$G$6,M252&lt;=Parametry!$G$7),1,0),0)</f>
        <v>0</v>
      </c>
      <c r="O252" s="13">
        <f>IF(C252="",IF(COUNTA(D252:J252)&gt;0,1,0),IF(OR(COUNTIFS($C$9:$C$1008,C252)&lt;&gt;1,NOT(ISNUMBER(D252)),NOT(ISNUMBER(I252)),L252="",AND(F252&lt;&gt;"",COUNTIFS(Umowy!$C$9:$C$108,F252,Umowy!$D$9:$D$108,L252)&lt;&gt;1)),1,0))</f>
        <v>0</v>
      </c>
      <c r="P252" s="7" t="str">
        <f t="shared" si="10"/>
        <v/>
      </c>
      <c r="Q252" s="7" t="str">
        <f t="shared" si="11"/>
        <v/>
      </c>
    </row>
    <row r="253" spans="1:17" ht="24" customHeight="1">
      <c r="A253" s="7"/>
      <c r="B253" s="7"/>
      <c r="C253" s="3"/>
      <c r="D253" s="2"/>
      <c r="E253" s="3"/>
      <c r="F253" s="3"/>
      <c r="G253" s="3"/>
      <c r="H253" s="3"/>
      <c r="I253" s="6"/>
      <c r="J253" s="3"/>
      <c r="K253" s="7"/>
      <c r="L253" s="13" t="str">
        <f>IF(C253="","",IF(COUNTIFS(Parametry!$C$54:$C$113,E253)=1,INDEX(Parametry!$D$54:$D$113,MATCH(E253,Parametry!$C$54:$C$113,0)),""))</f>
        <v/>
      </c>
      <c r="M253" s="7">
        <f t="shared" si="9"/>
        <v>0</v>
      </c>
      <c r="N253" s="13">
        <f>IF(AND(ISNUMBER(D253),ISNUMBER(Parametry!$G$6)),IF(AND(YEAR(D253)=Parametry!$G$6,M253&lt;=Parametry!$G$7),1,0),0)</f>
        <v>0</v>
      </c>
      <c r="O253" s="13">
        <f>IF(C253="",IF(COUNTA(D253:J253)&gt;0,1,0),IF(OR(COUNTIFS($C$9:$C$1008,C253)&lt;&gt;1,NOT(ISNUMBER(D253)),NOT(ISNUMBER(I253)),L253="",AND(F253&lt;&gt;"",COUNTIFS(Umowy!$C$9:$C$108,F253,Umowy!$D$9:$D$108,L253)&lt;&gt;1)),1,0))</f>
        <v>0</v>
      </c>
      <c r="P253" s="7" t="str">
        <f t="shared" si="10"/>
        <v/>
      </c>
      <c r="Q253" s="7" t="str">
        <f t="shared" si="11"/>
        <v/>
      </c>
    </row>
    <row r="254" spans="1:17" ht="24" customHeight="1">
      <c r="A254" s="7"/>
      <c r="B254" s="7"/>
      <c r="C254" s="3"/>
      <c r="D254" s="2"/>
      <c r="E254" s="3"/>
      <c r="F254" s="3"/>
      <c r="G254" s="3"/>
      <c r="H254" s="3"/>
      <c r="I254" s="6"/>
      <c r="J254" s="3"/>
      <c r="K254" s="7"/>
      <c r="L254" s="13" t="str">
        <f>IF(C254="","",IF(COUNTIFS(Parametry!$C$54:$C$113,E254)=1,INDEX(Parametry!$D$54:$D$113,MATCH(E254,Parametry!$C$54:$C$113,0)),""))</f>
        <v/>
      </c>
      <c r="M254" s="7">
        <f t="shared" si="9"/>
        <v>0</v>
      </c>
      <c r="N254" s="13">
        <f>IF(AND(ISNUMBER(D254),ISNUMBER(Parametry!$G$6)),IF(AND(YEAR(D254)=Parametry!$G$6,M254&lt;=Parametry!$G$7),1,0),0)</f>
        <v>0</v>
      </c>
      <c r="O254" s="13">
        <f>IF(C254="",IF(COUNTA(D254:J254)&gt;0,1,0),IF(OR(COUNTIFS($C$9:$C$1008,C254)&lt;&gt;1,NOT(ISNUMBER(D254)),NOT(ISNUMBER(I254)),L254="",AND(F254&lt;&gt;"",COUNTIFS(Umowy!$C$9:$C$108,F254,Umowy!$D$9:$D$108,L254)&lt;&gt;1)),1,0))</f>
        <v>0</v>
      </c>
      <c r="P254" s="7" t="str">
        <f t="shared" si="10"/>
        <v/>
      </c>
      <c r="Q254" s="7" t="str">
        <f t="shared" si="11"/>
        <v/>
      </c>
    </row>
    <row r="255" spans="1:17" ht="24" customHeight="1">
      <c r="A255" s="7"/>
      <c r="B255" s="7"/>
      <c r="C255" s="3"/>
      <c r="D255" s="2"/>
      <c r="E255" s="3"/>
      <c r="F255" s="3"/>
      <c r="G255" s="3"/>
      <c r="H255" s="3"/>
      <c r="I255" s="6"/>
      <c r="J255" s="3"/>
      <c r="K255" s="7"/>
      <c r="L255" s="13" t="str">
        <f>IF(C255="","",IF(COUNTIFS(Parametry!$C$54:$C$113,E255)=1,INDEX(Parametry!$D$54:$D$113,MATCH(E255,Parametry!$C$54:$C$113,0)),""))</f>
        <v/>
      </c>
      <c r="M255" s="7">
        <f t="shared" si="9"/>
        <v>0</v>
      </c>
      <c r="N255" s="13">
        <f>IF(AND(ISNUMBER(D255),ISNUMBER(Parametry!$G$6)),IF(AND(YEAR(D255)=Parametry!$G$6,M255&lt;=Parametry!$G$7),1,0),0)</f>
        <v>0</v>
      </c>
      <c r="O255" s="13">
        <f>IF(C255="",IF(COUNTA(D255:J255)&gt;0,1,0),IF(OR(COUNTIFS($C$9:$C$1008,C255)&lt;&gt;1,NOT(ISNUMBER(D255)),NOT(ISNUMBER(I255)),L255="",AND(F255&lt;&gt;"",COUNTIFS(Umowy!$C$9:$C$108,F255,Umowy!$D$9:$D$108,L255)&lt;&gt;1)),1,0))</f>
        <v>0</v>
      </c>
      <c r="P255" s="7" t="str">
        <f t="shared" si="10"/>
        <v/>
      </c>
      <c r="Q255" s="7" t="str">
        <f t="shared" si="11"/>
        <v/>
      </c>
    </row>
    <row r="256" spans="1:17" ht="24" customHeight="1">
      <c r="A256" s="7"/>
      <c r="B256" s="7"/>
      <c r="C256" s="3"/>
      <c r="D256" s="2"/>
      <c r="E256" s="3"/>
      <c r="F256" s="3"/>
      <c r="G256" s="3"/>
      <c r="H256" s="3"/>
      <c r="I256" s="6"/>
      <c r="J256" s="3"/>
      <c r="K256" s="7"/>
      <c r="L256" s="13" t="str">
        <f>IF(C256="","",IF(COUNTIFS(Parametry!$C$54:$C$113,E256)=1,INDEX(Parametry!$D$54:$D$113,MATCH(E256,Parametry!$C$54:$C$113,0)),""))</f>
        <v/>
      </c>
      <c r="M256" s="7">
        <f t="shared" si="9"/>
        <v>0</v>
      </c>
      <c r="N256" s="13">
        <f>IF(AND(ISNUMBER(D256),ISNUMBER(Parametry!$G$6)),IF(AND(YEAR(D256)=Parametry!$G$6,M256&lt;=Parametry!$G$7),1,0),0)</f>
        <v>0</v>
      </c>
      <c r="O256" s="13">
        <f>IF(C256="",IF(COUNTA(D256:J256)&gt;0,1,0),IF(OR(COUNTIFS($C$9:$C$1008,C256)&lt;&gt;1,NOT(ISNUMBER(D256)),NOT(ISNUMBER(I256)),L256="",AND(F256&lt;&gt;"",COUNTIFS(Umowy!$C$9:$C$108,F256,Umowy!$D$9:$D$108,L256)&lt;&gt;1)),1,0))</f>
        <v>0</v>
      </c>
      <c r="P256" s="7" t="str">
        <f t="shared" si="10"/>
        <v/>
      </c>
      <c r="Q256" s="7" t="str">
        <f t="shared" si="11"/>
        <v/>
      </c>
    </row>
    <row r="257" spans="1:17" ht="24" customHeight="1">
      <c r="A257" s="7"/>
      <c r="B257" s="7"/>
      <c r="C257" s="3"/>
      <c r="D257" s="2"/>
      <c r="E257" s="3"/>
      <c r="F257" s="3"/>
      <c r="G257" s="3"/>
      <c r="H257" s="3"/>
      <c r="I257" s="6"/>
      <c r="J257" s="3"/>
      <c r="K257" s="7"/>
      <c r="L257" s="13" t="str">
        <f>IF(C257="","",IF(COUNTIFS(Parametry!$C$54:$C$113,E257)=1,INDEX(Parametry!$D$54:$D$113,MATCH(E257,Parametry!$C$54:$C$113,0)),""))</f>
        <v/>
      </c>
      <c r="M257" s="7">
        <f t="shared" si="9"/>
        <v>0</v>
      </c>
      <c r="N257" s="13">
        <f>IF(AND(ISNUMBER(D257),ISNUMBER(Parametry!$G$6)),IF(AND(YEAR(D257)=Parametry!$G$6,M257&lt;=Parametry!$G$7),1,0),0)</f>
        <v>0</v>
      </c>
      <c r="O257" s="13">
        <f>IF(C257="",IF(COUNTA(D257:J257)&gt;0,1,0),IF(OR(COUNTIFS($C$9:$C$1008,C257)&lt;&gt;1,NOT(ISNUMBER(D257)),NOT(ISNUMBER(I257)),L257="",AND(F257&lt;&gt;"",COUNTIFS(Umowy!$C$9:$C$108,F257,Umowy!$D$9:$D$108,L257)&lt;&gt;1)),1,0))</f>
        <v>0</v>
      </c>
      <c r="P257" s="7" t="str">
        <f t="shared" si="10"/>
        <v/>
      </c>
      <c r="Q257" s="7" t="str">
        <f t="shared" si="11"/>
        <v/>
      </c>
    </row>
    <row r="258" spans="1:17" ht="24" customHeight="1">
      <c r="A258" s="7"/>
      <c r="B258" s="7"/>
      <c r="C258" s="3"/>
      <c r="D258" s="2"/>
      <c r="E258" s="3"/>
      <c r="F258" s="3"/>
      <c r="G258" s="3"/>
      <c r="H258" s="3"/>
      <c r="I258" s="6"/>
      <c r="J258" s="3"/>
      <c r="K258" s="7"/>
      <c r="L258" s="13" t="str">
        <f>IF(C258="","",IF(COUNTIFS(Parametry!$C$54:$C$113,E258)=1,INDEX(Parametry!$D$54:$D$113,MATCH(E258,Parametry!$C$54:$C$113,0)),""))</f>
        <v/>
      </c>
      <c r="M258" s="7">
        <f t="shared" si="9"/>
        <v>0</v>
      </c>
      <c r="N258" s="13">
        <f>IF(AND(ISNUMBER(D258),ISNUMBER(Parametry!$G$6)),IF(AND(YEAR(D258)=Parametry!$G$6,M258&lt;=Parametry!$G$7),1,0),0)</f>
        <v>0</v>
      </c>
      <c r="O258" s="13">
        <f>IF(C258="",IF(COUNTA(D258:J258)&gt;0,1,0),IF(OR(COUNTIFS($C$9:$C$1008,C258)&lt;&gt;1,NOT(ISNUMBER(D258)),NOT(ISNUMBER(I258)),L258="",AND(F258&lt;&gt;"",COUNTIFS(Umowy!$C$9:$C$108,F258,Umowy!$D$9:$D$108,L258)&lt;&gt;1)),1,0))</f>
        <v>0</v>
      </c>
      <c r="P258" s="7" t="str">
        <f t="shared" si="10"/>
        <v/>
      </c>
      <c r="Q258" s="7" t="str">
        <f t="shared" si="11"/>
        <v/>
      </c>
    </row>
    <row r="259" spans="1:17" ht="24" customHeight="1">
      <c r="A259" s="7"/>
      <c r="B259" s="7"/>
      <c r="C259" s="3"/>
      <c r="D259" s="2"/>
      <c r="E259" s="3"/>
      <c r="F259" s="3"/>
      <c r="G259" s="3"/>
      <c r="H259" s="3"/>
      <c r="I259" s="6"/>
      <c r="J259" s="3"/>
      <c r="K259" s="7"/>
      <c r="L259" s="13" t="str">
        <f>IF(C259="","",IF(COUNTIFS(Parametry!$C$54:$C$113,E259)=1,INDEX(Parametry!$D$54:$D$113,MATCH(E259,Parametry!$C$54:$C$113,0)),""))</f>
        <v/>
      </c>
      <c r="M259" s="7">
        <f t="shared" si="9"/>
        <v>0</v>
      </c>
      <c r="N259" s="13">
        <f>IF(AND(ISNUMBER(D259),ISNUMBER(Parametry!$G$6)),IF(AND(YEAR(D259)=Parametry!$G$6,M259&lt;=Parametry!$G$7),1,0),0)</f>
        <v>0</v>
      </c>
      <c r="O259" s="13">
        <f>IF(C259="",IF(COUNTA(D259:J259)&gt;0,1,0),IF(OR(COUNTIFS($C$9:$C$1008,C259)&lt;&gt;1,NOT(ISNUMBER(D259)),NOT(ISNUMBER(I259)),L259="",AND(F259&lt;&gt;"",COUNTIFS(Umowy!$C$9:$C$108,F259,Umowy!$D$9:$D$108,L259)&lt;&gt;1)),1,0))</f>
        <v>0</v>
      </c>
      <c r="P259" s="7" t="str">
        <f t="shared" si="10"/>
        <v/>
      </c>
      <c r="Q259" s="7" t="str">
        <f t="shared" si="11"/>
        <v/>
      </c>
    </row>
    <row r="260" spans="1:17" ht="24" customHeight="1">
      <c r="A260" s="7"/>
      <c r="B260" s="7"/>
      <c r="C260" s="3"/>
      <c r="D260" s="2"/>
      <c r="E260" s="3"/>
      <c r="F260" s="3"/>
      <c r="G260" s="3"/>
      <c r="H260" s="3"/>
      <c r="I260" s="6"/>
      <c r="J260" s="3"/>
      <c r="K260" s="7"/>
      <c r="L260" s="13" t="str">
        <f>IF(C260="","",IF(COUNTIFS(Parametry!$C$54:$C$113,E260)=1,INDEX(Parametry!$D$54:$D$113,MATCH(E260,Parametry!$C$54:$C$113,0)),""))</f>
        <v/>
      </c>
      <c r="M260" s="7">
        <f t="shared" si="9"/>
        <v>0</v>
      </c>
      <c r="N260" s="13">
        <f>IF(AND(ISNUMBER(D260),ISNUMBER(Parametry!$G$6)),IF(AND(YEAR(D260)=Parametry!$G$6,M260&lt;=Parametry!$G$7),1,0),0)</f>
        <v>0</v>
      </c>
      <c r="O260" s="13">
        <f>IF(C260="",IF(COUNTA(D260:J260)&gt;0,1,0),IF(OR(COUNTIFS($C$9:$C$1008,C260)&lt;&gt;1,NOT(ISNUMBER(D260)),NOT(ISNUMBER(I260)),L260="",AND(F260&lt;&gt;"",COUNTIFS(Umowy!$C$9:$C$108,F260,Umowy!$D$9:$D$108,L260)&lt;&gt;1)),1,0))</f>
        <v>0</v>
      </c>
      <c r="P260" s="7" t="str">
        <f t="shared" si="10"/>
        <v/>
      </c>
      <c r="Q260" s="7" t="str">
        <f t="shared" si="11"/>
        <v/>
      </c>
    </row>
    <row r="261" spans="1:17" ht="24" customHeight="1">
      <c r="A261" s="7"/>
      <c r="B261" s="7"/>
      <c r="C261" s="3"/>
      <c r="D261" s="2"/>
      <c r="E261" s="3"/>
      <c r="F261" s="3"/>
      <c r="G261" s="3"/>
      <c r="H261" s="3"/>
      <c r="I261" s="6"/>
      <c r="J261" s="3"/>
      <c r="K261" s="7"/>
      <c r="L261" s="13" t="str">
        <f>IF(C261="","",IF(COUNTIFS(Parametry!$C$54:$C$113,E261)=1,INDEX(Parametry!$D$54:$D$113,MATCH(E261,Parametry!$C$54:$C$113,0)),""))</f>
        <v/>
      </c>
      <c r="M261" s="7">
        <f t="shared" si="9"/>
        <v>0</v>
      </c>
      <c r="N261" s="13">
        <f>IF(AND(ISNUMBER(D261),ISNUMBER(Parametry!$G$6)),IF(AND(YEAR(D261)=Parametry!$G$6,M261&lt;=Parametry!$G$7),1,0),0)</f>
        <v>0</v>
      </c>
      <c r="O261" s="13">
        <f>IF(C261="",IF(COUNTA(D261:J261)&gt;0,1,0),IF(OR(COUNTIFS($C$9:$C$1008,C261)&lt;&gt;1,NOT(ISNUMBER(D261)),NOT(ISNUMBER(I261)),L261="",AND(F261&lt;&gt;"",COUNTIFS(Umowy!$C$9:$C$108,F261,Umowy!$D$9:$D$108,L261)&lt;&gt;1)),1,0))</f>
        <v>0</v>
      </c>
      <c r="P261" s="7" t="str">
        <f t="shared" si="10"/>
        <v/>
      </c>
      <c r="Q261" s="7" t="str">
        <f t="shared" si="11"/>
        <v/>
      </c>
    </row>
    <row r="262" spans="1:17" ht="24" customHeight="1">
      <c r="A262" s="7"/>
      <c r="B262" s="7"/>
      <c r="C262" s="3"/>
      <c r="D262" s="2"/>
      <c r="E262" s="3"/>
      <c r="F262" s="3"/>
      <c r="G262" s="3"/>
      <c r="H262" s="3"/>
      <c r="I262" s="6"/>
      <c r="J262" s="3"/>
      <c r="K262" s="7"/>
      <c r="L262" s="13" t="str">
        <f>IF(C262="","",IF(COUNTIFS(Parametry!$C$54:$C$113,E262)=1,INDEX(Parametry!$D$54:$D$113,MATCH(E262,Parametry!$C$54:$C$113,0)),""))</f>
        <v/>
      </c>
      <c r="M262" s="7">
        <f t="shared" si="9"/>
        <v>0</v>
      </c>
      <c r="N262" s="13">
        <f>IF(AND(ISNUMBER(D262),ISNUMBER(Parametry!$G$6)),IF(AND(YEAR(D262)=Parametry!$G$6,M262&lt;=Parametry!$G$7),1,0),0)</f>
        <v>0</v>
      </c>
      <c r="O262" s="13">
        <f>IF(C262="",IF(COUNTA(D262:J262)&gt;0,1,0),IF(OR(COUNTIFS($C$9:$C$1008,C262)&lt;&gt;1,NOT(ISNUMBER(D262)),NOT(ISNUMBER(I262)),L262="",AND(F262&lt;&gt;"",COUNTIFS(Umowy!$C$9:$C$108,F262,Umowy!$D$9:$D$108,L262)&lt;&gt;1)),1,0))</f>
        <v>0</v>
      </c>
      <c r="P262" s="7" t="str">
        <f t="shared" si="10"/>
        <v/>
      </c>
      <c r="Q262" s="7" t="str">
        <f t="shared" si="11"/>
        <v/>
      </c>
    </row>
    <row r="263" spans="1:17" ht="24" customHeight="1">
      <c r="A263" s="7"/>
      <c r="B263" s="7"/>
      <c r="C263" s="3"/>
      <c r="D263" s="2"/>
      <c r="E263" s="3"/>
      <c r="F263" s="3"/>
      <c r="G263" s="3"/>
      <c r="H263" s="3"/>
      <c r="I263" s="6"/>
      <c r="J263" s="3"/>
      <c r="K263" s="7"/>
      <c r="L263" s="13" t="str">
        <f>IF(C263="","",IF(COUNTIFS(Parametry!$C$54:$C$113,E263)=1,INDEX(Parametry!$D$54:$D$113,MATCH(E263,Parametry!$C$54:$C$113,0)),""))</f>
        <v/>
      </c>
      <c r="M263" s="7">
        <f t="shared" si="9"/>
        <v>0</v>
      </c>
      <c r="N263" s="13">
        <f>IF(AND(ISNUMBER(D263),ISNUMBER(Parametry!$G$6)),IF(AND(YEAR(D263)=Parametry!$G$6,M263&lt;=Parametry!$G$7),1,0),0)</f>
        <v>0</v>
      </c>
      <c r="O263" s="13">
        <f>IF(C263="",IF(COUNTA(D263:J263)&gt;0,1,0),IF(OR(COUNTIFS($C$9:$C$1008,C263)&lt;&gt;1,NOT(ISNUMBER(D263)),NOT(ISNUMBER(I263)),L263="",AND(F263&lt;&gt;"",COUNTIFS(Umowy!$C$9:$C$108,F263,Umowy!$D$9:$D$108,L263)&lt;&gt;1)),1,0))</f>
        <v>0</v>
      </c>
      <c r="P263" s="7" t="str">
        <f t="shared" si="10"/>
        <v/>
      </c>
      <c r="Q263" s="7" t="str">
        <f t="shared" si="11"/>
        <v/>
      </c>
    </row>
    <row r="264" spans="1:17" ht="24" customHeight="1">
      <c r="A264" s="7"/>
      <c r="B264" s="7"/>
      <c r="C264" s="3"/>
      <c r="D264" s="2"/>
      <c r="E264" s="3"/>
      <c r="F264" s="3"/>
      <c r="G264" s="3"/>
      <c r="H264" s="3"/>
      <c r="I264" s="6"/>
      <c r="J264" s="3"/>
      <c r="K264" s="7"/>
      <c r="L264" s="13" t="str">
        <f>IF(C264="","",IF(COUNTIFS(Parametry!$C$54:$C$113,E264)=1,INDEX(Parametry!$D$54:$D$113,MATCH(E264,Parametry!$C$54:$C$113,0)),""))</f>
        <v/>
      </c>
      <c r="M264" s="7">
        <f t="shared" si="9"/>
        <v>0</v>
      </c>
      <c r="N264" s="13">
        <f>IF(AND(ISNUMBER(D264),ISNUMBER(Parametry!$G$6)),IF(AND(YEAR(D264)=Parametry!$G$6,M264&lt;=Parametry!$G$7),1,0),0)</f>
        <v>0</v>
      </c>
      <c r="O264" s="13">
        <f>IF(C264="",IF(COUNTA(D264:J264)&gt;0,1,0),IF(OR(COUNTIFS($C$9:$C$1008,C264)&lt;&gt;1,NOT(ISNUMBER(D264)),NOT(ISNUMBER(I264)),L264="",AND(F264&lt;&gt;"",COUNTIFS(Umowy!$C$9:$C$108,F264,Umowy!$D$9:$D$108,L264)&lt;&gt;1)),1,0))</f>
        <v>0</v>
      </c>
      <c r="P264" s="7" t="str">
        <f t="shared" si="10"/>
        <v/>
      </c>
      <c r="Q264" s="7" t="str">
        <f t="shared" si="11"/>
        <v/>
      </c>
    </row>
    <row r="265" spans="1:17" ht="24" customHeight="1">
      <c r="A265" s="7"/>
      <c r="B265" s="7"/>
      <c r="C265" s="3"/>
      <c r="D265" s="2"/>
      <c r="E265" s="3"/>
      <c r="F265" s="3"/>
      <c r="G265" s="3"/>
      <c r="H265" s="3"/>
      <c r="I265" s="6"/>
      <c r="J265" s="3"/>
      <c r="K265" s="7"/>
      <c r="L265" s="13" t="str">
        <f>IF(C265="","",IF(COUNTIFS(Parametry!$C$54:$C$113,E265)=1,INDEX(Parametry!$D$54:$D$113,MATCH(E265,Parametry!$C$54:$C$113,0)),""))</f>
        <v/>
      </c>
      <c r="M265" s="7">
        <f t="shared" ref="M265:M328" si="12">IF(ISNUMBER(D265),MONTH(D265),0)</f>
        <v>0</v>
      </c>
      <c r="N265" s="13">
        <f>IF(AND(ISNUMBER(D265),ISNUMBER(Parametry!$G$6)),IF(AND(YEAR(D265)=Parametry!$G$6,M265&lt;=Parametry!$G$7),1,0),0)</f>
        <v>0</v>
      </c>
      <c r="O265" s="13">
        <f>IF(C265="",IF(COUNTA(D265:J265)&gt;0,1,0),IF(OR(COUNTIFS($C$9:$C$1008,C265)&lt;&gt;1,NOT(ISNUMBER(D265)),NOT(ISNUMBER(I265)),L265="",AND(F265&lt;&gt;"",COUNTIFS(Umowy!$C$9:$C$108,F265,Umowy!$D$9:$D$108,L265)&lt;&gt;1)),1,0))</f>
        <v>0</v>
      </c>
      <c r="P265" s="7" t="str">
        <f t="shared" ref="P265:P328" si="13">IF(O265=0,"",IF(C265="","Missing RowID",IF(COUNTIFS($C$9:$C$1008,C265)&lt;&gt;1,"Duplicate RowID",IF(L265="","Unmapped ERPKey",IF(NOT(ISNUMBER(D265)),"Invalid Date",IF(NOT(ISNUMBER(I265)),"Invalid AmountPLN","CommitmentID / BudgetID"))))))</f>
        <v/>
      </c>
      <c r="Q265" s="7" t="str">
        <f t="shared" ref="Q265:Q328" si="14">IF(C265="","",IF(N265=1,"","Nie ujęto w wykonaniu okresu"))</f>
        <v/>
      </c>
    </row>
    <row r="266" spans="1:17" ht="24" customHeight="1">
      <c r="A266" s="7"/>
      <c r="B266" s="7"/>
      <c r="C266" s="3"/>
      <c r="D266" s="2"/>
      <c r="E266" s="3"/>
      <c r="F266" s="3"/>
      <c r="G266" s="3"/>
      <c r="H266" s="3"/>
      <c r="I266" s="6"/>
      <c r="J266" s="3"/>
      <c r="K266" s="7"/>
      <c r="L266" s="13" t="str">
        <f>IF(C266="","",IF(COUNTIFS(Parametry!$C$54:$C$113,E266)=1,INDEX(Parametry!$D$54:$D$113,MATCH(E266,Parametry!$C$54:$C$113,0)),""))</f>
        <v/>
      </c>
      <c r="M266" s="7">
        <f t="shared" si="12"/>
        <v>0</v>
      </c>
      <c r="N266" s="13">
        <f>IF(AND(ISNUMBER(D266),ISNUMBER(Parametry!$G$6)),IF(AND(YEAR(D266)=Parametry!$G$6,M266&lt;=Parametry!$G$7),1,0),0)</f>
        <v>0</v>
      </c>
      <c r="O266" s="13">
        <f>IF(C266="",IF(COUNTA(D266:J266)&gt;0,1,0),IF(OR(COUNTIFS($C$9:$C$1008,C266)&lt;&gt;1,NOT(ISNUMBER(D266)),NOT(ISNUMBER(I266)),L266="",AND(F266&lt;&gt;"",COUNTIFS(Umowy!$C$9:$C$108,F266,Umowy!$D$9:$D$108,L266)&lt;&gt;1)),1,0))</f>
        <v>0</v>
      </c>
      <c r="P266" s="7" t="str">
        <f t="shared" si="13"/>
        <v/>
      </c>
      <c r="Q266" s="7" t="str">
        <f t="shared" si="14"/>
        <v/>
      </c>
    </row>
    <row r="267" spans="1:17" ht="24" customHeight="1">
      <c r="A267" s="7"/>
      <c r="B267" s="7"/>
      <c r="C267" s="3"/>
      <c r="D267" s="2"/>
      <c r="E267" s="3"/>
      <c r="F267" s="3"/>
      <c r="G267" s="3"/>
      <c r="H267" s="3"/>
      <c r="I267" s="6"/>
      <c r="J267" s="3"/>
      <c r="K267" s="7"/>
      <c r="L267" s="13" t="str">
        <f>IF(C267="","",IF(COUNTIFS(Parametry!$C$54:$C$113,E267)=1,INDEX(Parametry!$D$54:$D$113,MATCH(E267,Parametry!$C$54:$C$113,0)),""))</f>
        <v/>
      </c>
      <c r="M267" s="7">
        <f t="shared" si="12"/>
        <v>0</v>
      </c>
      <c r="N267" s="13">
        <f>IF(AND(ISNUMBER(D267),ISNUMBER(Parametry!$G$6)),IF(AND(YEAR(D267)=Parametry!$G$6,M267&lt;=Parametry!$G$7),1,0),0)</f>
        <v>0</v>
      </c>
      <c r="O267" s="13">
        <f>IF(C267="",IF(COUNTA(D267:J267)&gt;0,1,0),IF(OR(COUNTIFS($C$9:$C$1008,C267)&lt;&gt;1,NOT(ISNUMBER(D267)),NOT(ISNUMBER(I267)),L267="",AND(F267&lt;&gt;"",COUNTIFS(Umowy!$C$9:$C$108,F267,Umowy!$D$9:$D$108,L267)&lt;&gt;1)),1,0))</f>
        <v>0</v>
      </c>
      <c r="P267" s="7" t="str">
        <f t="shared" si="13"/>
        <v/>
      </c>
      <c r="Q267" s="7" t="str">
        <f t="shared" si="14"/>
        <v/>
      </c>
    </row>
    <row r="268" spans="1:17" ht="24" customHeight="1">
      <c r="A268" s="7"/>
      <c r="B268" s="7"/>
      <c r="C268" s="3"/>
      <c r="D268" s="2"/>
      <c r="E268" s="3"/>
      <c r="F268" s="3"/>
      <c r="G268" s="3"/>
      <c r="H268" s="3"/>
      <c r="I268" s="6"/>
      <c r="J268" s="3"/>
      <c r="K268" s="7"/>
      <c r="L268" s="13" t="str">
        <f>IF(C268="","",IF(COUNTIFS(Parametry!$C$54:$C$113,E268)=1,INDEX(Parametry!$D$54:$D$113,MATCH(E268,Parametry!$C$54:$C$113,0)),""))</f>
        <v/>
      </c>
      <c r="M268" s="7">
        <f t="shared" si="12"/>
        <v>0</v>
      </c>
      <c r="N268" s="13">
        <f>IF(AND(ISNUMBER(D268),ISNUMBER(Parametry!$G$6)),IF(AND(YEAR(D268)=Parametry!$G$6,M268&lt;=Parametry!$G$7),1,0),0)</f>
        <v>0</v>
      </c>
      <c r="O268" s="13">
        <f>IF(C268="",IF(COUNTA(D268:J268)&gt;0,1,0),IF(OR(COUNTIFS($C$9:$C$1008,C268)&lt;&gt;1,NOT(ISNUMBER(D268)),NOT(ISNUMBER(I268)),L268="",AND(F268&lt;&gt;"",COUNTIFS(Umowy!$C$9:$C$108,F268,Umowy!$D$9:$D$108,L268)&lt;&gt;1)),1,0))</f>
        <v>0</v>
      </c>
      <c r="P268" s="7" t="str">
        <f t="shared" si="13"/>
        <v/>
      </c>
      <c r="Q268" s="7" t="str">
        <f t="shared" si="14"/>
        <v/>
      </c>
    </row>
    <row r="269" spans="1:17" ht="24" customHeight="1">
      <c r="A269" s="7"/>
      <c r="B269" s="7"/>
      <c r="C269" s="3"/>
      <c r="D269" s="2"/>
      <c r="E269" s="3"/>
      <c r="F269" s="3"/>
      <c r="G269" s="3"/>
      <c r="H269" s="3"/>
      <c r="I269" s="6"/>
      <c r="J269" s="3"/>
      <c r="K269" s="7"/>
      <c r="L269" s="13" t="str">
        <f>IF(C269="","",IF(COUNTIFS(Parametry!$C$54:$C$113,E269)=1,INDEX(Parametry!$D$54:$D$113,MATCH(E269,Parametry!$C$54:$C$113,0)),""))</f>
        <v/>
      </c>
      <c r="M269" s="7">
        <f t="shared" si="12"/>
        <v>0</v>
      </c>
      <c r="N269" s="13">
        <f>IF(AND(ISNUMBER(D269),ISNUMBER(Parametry!$G$6)),IF(AND(YEAR(D269)=Parametry!$G$6,M269&lt;=Parametry!$G$7),1,0),0)</f>
        <v>0</v>
      </c>
      <c r="O269" s="13">
        <f>IF(C269="",IF(COUNTA(D269:J269)&gt;0,1,0),IF(OR(COUNTIFS($C$9:$C$1008,C269)&lt;&gt;1,NOT(ISNUMBER(D269)),NOT(ISNUMBER(I269)),L269="",AND(F269&lt;&gt;"",COUNTIFS(Umowy!$C$9:$C$108,F269,Umowy!$D$9:$D$108,L269)&lt;&gt;1)),1,0))</f>
        <v>0</v>
      </c>
      <c r="P269" s="7" t="str">
        <f t="shared" si="13"/>
        <v/>
      </c>
      <c r="Q269" s="7" t="str">
        <f t="shared" si="14"/>
        <v/>
      </c>
    </row>
    <row r="270" spans="1:17" ht="24" customHeight="1">
      <c r="A270" s="7"/>
      <c r="B270" s="7"/>
      <c r="C270" s="3"/>
      <c r="D270" s="2"/>
      <c r="E270" s="3"/>
      <c r="F270" s="3"/>
      <c r="G270" s="3"/>
      <c r="H270" s="3"/>
      <c r="I270" s="6"/>
      <c r="J270" s="3"/>
      <c r="K270" s="7"/>
      <c r="L270" s="13" t="str">
        <f>IF(C270="","",IF(COUNTIFS(Parametry!$C$54:$C$113,E270)=1,INDEX(Parametry!$D$54:$D$113,MATCH(E270,Parametry!$C$54:$C$113,0)),""))</f>
        <v/>
      </c>
      <c r="M270" s="7">
        <f t="shared" si="12"/>
        <v>0</v>
      </c>
      <c r="N270" s="13">
        <f>IF(AND(ISNUMBER(D270),ISNUMBER(Parametry!$G$6)),IF(AND(YEAR(D270)=Parametry!$G$6,M270&lt;=Parametry!$G$7),1,0),0)</f>
        <v>0</v>
      </c>
      <c r="O270" s="13">
        <f>IF(C270="",IF(COUNTA(D270:J270)&gt;0,1,0),IF(OR(COUNTIFS($C$9:$C$1008,C270)&lt;&gt;1,NOT(ISNUMBER(D270)),NOT(ISNUMBER(I270)),L270="",AND(F270&lt;&gt;"",COUNTIFS(Umowy!$C$9:$C$108,F270,Umowy!$D$9:$D$108,L270)&lt;&gt;1)),1,0))</f>
        <v>0</v>
      </c>
      <c r="P270" s="7" t="str">
        <f t="shared" si="13"/>
        <v/>
      </c>
      <c r="Q270" s="7" t="str">
        <f t="shared" si="14"/>
        <v/>
      </c>
    </row>
    <row r="271" spans="1:17" ht="24" customHeight="1">
      <c r="A271" s="7"/>
      <c r="B271" s="7"/>
      <c r="C271" s="3"/>
      <c r="D271" s="2"/>
      <c r="E271" s="3"/>
      <c r="F271" s="3"/>
      <c r="G271" s="3"/>
      <c r="H271" s="3"/>
      <c r="I271" s="6"/>
      <c r="J271" s="3"/>
      <c r="K271" s="7"/>
      <c r="L271" s="13" t="str">
        <f>IF(C271="","",IF(COUNTIFS(Parametry!$C$54:$C$113,E271)=1,INDEX(Parametry!$D$54:$D$113,MATCH(E271,Parametry!$C$54:$C$113,0)),""))</f>
        <v/>
      </c>
      <c r="M271" s="7">
        <f t="shared" si="12"/>
        <v>0</v>
      </c>
      <c r="N271" s="13">
        <f>IF(AND(ISNUMBER(D271),ISNUMBER(Parametry!$G$6)),IF(AND(YEAR(D271)=Parametry!$G$6,M271&lt;=Parametry!$G$7),1,0),0)</f>
        <v>0</v>
      </c>
      <c r="O271" s="13">
        <f>IF(C271="",IF(COUNTA(D271:J271)&gt;0,1,0),IF(OR(COUNTIFS($C$9:$C$1008,C271)&lt;&gt;1,NOT(ISNUMBER(D271)),NOT(ISNUMBER(I271)),L271="",AND(F271&lt;&gt;"",COUNTIFS(Umowy!$C$9:$C$108,F271,Umowy!$D$9:$D$108,L271)&lt;&gt;1)),1,0))</f>
        <v>0</v>
      </c>
      <c r="P271" s="7" t="str">
        <f t="shared" si="13"/>
        <v/>
      </c>
      <c r="Q271" s="7" t="str">
        <f t="shared" si="14"/>
        <v/>
      </c>
    </row>
    <row r="272" spans="1:17" ht="24" customHeight="1">
      <c r="A272" s="7"/>
      <c r="B272" s="7"/>
      <c r="C272" s="3"/>
      <c r="D272" s="2"/>
      <c r="E272" s="3"/>
      <c r="F272" s="3"/>
      <c r="G272" s="3"/>
      <c r="H272" s="3"/>
      <c r="I272" s="6"/>
      <c r="J272" s="3"/>
      <c r="K272" s="7"/>
      <c r="L272" s="13" t="str">
        <f>IF(C272="","",IF(COUNTIFS(Parametry!$C$54:$C$113,E272)=1,INDEX(Parametry!$D$54:$D$113,MATCH(E272,Parametry!$C$54:$C$113,0)),""))</f>
        <v/>
      </c>
      <c r="M272" s="7">
        <f t="shared" si="12"/>
        <v>0</v>
      </c>
      <c r="N272" s="13">
        <f>IF(AND(ISNUMBER(D272),ISNUMBER(Parametry!$G$6)),IF(AND(YEAR(D272)=Parametry!$G$6,M272&lt;=Parametry!$G$7),1,0),0)</f>
        <v>0</v>
      </c>
      <c r="O272" s="13">
        <f>IF(C272="",IF(COUNTA(D272:J272)&gt;0,1,0),IF(OR(COUNTIFS($C$9:$C$1008,C272)&lt;&gt;1,NOT(ISNUMBER(D272)),NOT(ISNUMBER(I272)),L272="",AND(F272&lt;&gt;"",COUNTIFS(Umowy!$C$9:$C$108,F272,Umowy!$D$9:$D$108,L272)&lt;&gt;1)),1,0))</f>
        <v>0</v>
      </c>
      <c r="P272" s="7" t="str">
        <f t="shared" si="13"/>
        <v/>
      </c>
      <c r="Q272" s="7" t="str">
        <f t="shared" si="14"/>
        <v/>
      </c>
    </row>
    <row r="273" spans="1:17" ht="24" customHeight="1">
      <c r="A273" s="7"/>
      <c r="B273" s="7"/>
      <c r="C273" s="3"/>
      <c r="D273" s="2"/>
      <c r="E273" s="3"/>
      <c r="F273" s="3"/>
      <c r="G273" s="3"/>
      <c r="H273" s="3"/>
      <c r="I273" s="6"/>
      <c r="J273" s="3"/>
      <c r="K273" s="7"/>
      <c r="L273" s="13" t="str">
        <f>IF(C273="","",IF(COUNTIFS(Parametry!$C$54:$C$113,E273)=1,INDEX(Parametry!$D$54:$D$113,MATCH(E273,Parametry!$C$54:$C$113,0)),""))</f>
        <v/>
      </c>
      <c r="M273" s="7">
        <f t="shared" si="12"/>
        <v>0</v>
      </c>
      <c r="N273" s="13">
        <f>IF(AND(ISNUMBER(D273),ISNUMBER(Parametry!$G$6)),IF(AND(YEAR(D273)=Parametry!$G$6,M273&lt;=Parametry!$G$7),1,0),0)</f>
        <v>0</v>
      </c>
      <c r="O273" s="13">
        <f>IF(C273="",IF(COUNTA(D273:J273)&gt;0,1,0),IF(OR(COUNTIFS($C$9:$C$1008,C273)&lt;&gt;1,NOT(ISNUMBER(D273)),NOT(ISNUMBER(I273)),L273="",AND(F273&lt;&gt;"",COUNTIFS(Umowy!$C$9:$C$108,F273,Umowy!$D$9:$D$108,L273)&lt;&gt;1)),1,0))</f>
        <v>0</v>
      </c>
      <c r="P273" s="7" t="str">
        <f t="shared" si="13"/>
        <v/>
      </c>
      <c r="Q273" s="7" t="str">
        <f t="shared" si="14"/>
        <v/>
      </c>
    </row>
    <row r="274" spans="1:17" ht="24" customHeight="1">
      <c r="A274" s="7"/>
      <c r="B274" s="7"/>
      <c r="C274" s="3"/>
      <c r="D274" s="2"/>
      <c r="E274" s="3"/>
      <c r="F274" s="3"/>
      <c r="G274" s="3"/>
      <c r="H274" s="3"/>
      <c r="I274" s="6"/>
      <c r="J274" s="3"/>
      <c r="K274" s="7"/>
      <c r="L274" s="13" t="str">
        <f>IF(C274="","",IF(COUNTIFS(Parametry!$C$54:$C$113,E274)=1,INDEX(Parametry!$D$54:$D$113,MATCH(E274,Parametry!$C$54:$C$113,0)),""))</f>
        <v/>
      </c>
      <c r="M274" s="7">
        <f t="shared" si="12"/>
        <v>0</v>
      </c>
      <c r="N274" s="13">
        <f>IF(AND(ISNUMBER(D274),ISNUMBER(Parametry!$G$6)),IF(AND(YEAR(D274)=Parametry!$G$6,M274&lt;=Parametry!$G$7),1,0),0)</f>
        <v>0</v>
      </c>
      <c r="O274" s="13">
        <f>IF(C274="",IF(COUNTA(D274:J274)&gt;0,1,0),IF(OR(COUNTIFS($C$9:$C$1008,C274)&lt;&gt;1,NOT(ISNUMBER(D274)),NOT(ISNUMBER(I274)),L274="",AND(F274&lt;&gt;"",COUNTIFS(Umowy!$C$9:$C$108,F274,Umowy!$D$9:$D$108,L274)&lt;&gt;1)),1,0))</f>
        <v>0</v>
      </c>
      <c r="P274" s="7" t="str">
        <f t="shared" si="13"/>
        <v/>
      </c>
      <c r="Q274" s="7" t="str">
        <f t="shared" si="14"/>
        <v/>
      </c>
    </row>
    <row r="275" spans="1:17" ht="24" customHeight="1">
      <c r="A275" s="7"/>
      <c r="B275" s="7"/>
      <c r="C275" s="3"/>
      <c r="D275" s="2"/>
      <c r="E275" s="3"/>
      <c r="F275" s="3"/>
      <c r="G275" s="3"/>
      <c r="H275" s="3"/>
      <c r="I275" s="6"/>
      <c r="J275" s="3"/>
      <c r="K275" s="7"/>
      <c r="L275" s="13" t="str">
        <f>IF(C275="","",IF(COUNTIFS(Parametry!$C$54:$C$113,E275)=1,INDEX(Parametry!$D$54:$D$113,MATCH(E275,Parametry!$C$54:$C$113,0)),""))</f>
        <v/>
      </c>
      <c r="M275" s="7">
        <f t="shared" si="12"/>
        <v>0</v>
      </c>
      <c r="N275" s="13">
        <f>IF(AND(ISNUMBER(D275),ISNUMBER(Parametry!$G$6)),IF(AND(YEAR(D275)=Parametry!$G$6,M275&lt;=Parametry!$G$7),1,0),0)</f>
        <v>0</v>
      </c>
      <c r="O275" s="13">
        <f>IF(C275="",IF(COUNTA(D275:J275)&gt;0,1,0),IF(OR(COUNTIFS($C$9:$C$1008,C275)&lt;&gt;1,NOT(ISNUMBER(D275)),NOT(ISNUMBER(I275)),L275="",AND(F275&lt;&gt;"",COUNTIFS(Umowy!$C$9:$C$108,F275,Umowy!$D$9:$D$108,L275)&lt;&gt;1)),1,0))</f>
        <v>0</v>
      </c>
      <c r="P275" s="7" t="str">
        <f t="shared" si="13"/>
        <v/>
      </c>
      <c r="Q275" s="7" t="str">
        <f t="shared" si="14"/>
        <v/>
      </c>
    </row>
    <row r="276" spans="1:17" ht="24" customHeight="1">
      <c r="A276" s="7"/>
      <c r="B276" s="7"/>
      <c r="C276" s="3"/>
      <c r="D276" s="2"/>
      <c r="E276" s="3"/>
      <c r="F276" s="3"/>
      <c r="G276" s="3"/>
      <c r="H276" s="3"/>
      <c r="I276" s="6"/>
      <c r="J276" s="3"/>
      <c r="K276" s="7"/>
      <c r="L276" s="13" t="str">
        <f>IF(C276="","",IF(COUNTIFS(Parametry!$C$54:$C$113,E276)=1,INDEX(Parametry!$D$54:$D$113,MATCH(E276,Parametry!$C$54:$C$113,0)),""))</f>
        <v/>
      </c>
      <c r="M276" s="7">
        <f t="shared" si="12"/>
        <v>0</v>
      </c>
      <c r="N276" s="13">
        <f>IF(AND(ISNUMBER(D276),ISNUMBER(Parametry!$G$6)),IF(AND(YEAR(D276)=Parametry!$G$6,M276&lt;=Parametry!$G$7),1,0),0)</f>
        <v>0</v>
      </c>
      <c r="O276" s="13">
        <f>IF(C276="",IF(COUNTA(D276:J276)&gt;0,1,0),IF(OR(COUNTIFS($C$9:$C$1008,C276)&lt;&gt;1,NOT(ISNUMBER(D276)),NOT(ISNUMBER(I276)),L276="",AND(F276&lt;&gt;"",COUNTIFS(Umowy!$C$9:$C$108,F276,Umowy!$D$9:$D$108,L276)&lt;&gt;1)),1,0))</f>
        <v>0</v>
      </c>
      <c r="P276" s="7" t="str">
        <f t="shared" si="13"/>
        <v/>
      </c>
      <c r="Q276" s="7" t="str">
        <f t="shared" si="14"/>
        <v/>
      </c>
    </row>
    <row r="277" spans="1:17" ht="24" customHeight="1">
      <c r="A277" s="7"/>
      <c r="B277" s="7"/>
      <c r="C277" s="3"/>
      <c r="D277" s="2"/>
      <c r="E277" s="3"/>
      <c r="F277" s="3"/>
      <c r="G277" s="3"/>
      <c r="H277" s="3"/>
      <c r="I277" s="6"/>
      <c r="J277" s="3"/>
      <c r="K277" s="7"/>
      <c r="L277" s="13" t="str">
        <f>IF(C277="","",IF(COUNTIFS(Parametry!$C$54:$C$113,E277)=1,INDEX(Parametry!$D$54:$D$113,MATCH(E277,Parametry!$C$54:$C$113,0)),""))</f>
        <v/>
      </c>
      <c r="M277" s="7">
        <f t="shared" si="12"/>
        <v>0</v>
      </c>
      <c r="N277" s="13">
        <f>IF(AND(ISNUMBER(D277),ISNUMBER(Parametry!$G$6)),IF(AND(YEAR(D277)=Parametry!$G$6,M277&lt;=Parametry!$G$7),1,0),0)</f>
        <v>0</v>
      </c>
      <c r="O277" s="13">
        <f>IF(C277="",IF(COUNTA(D277:J277)&gt;0,1,0),IF(OR(COUNTIFS($C$9:$C$1008,C277)&lt;&gt;1,NOT(ISNUMBER(D277)),NOT(ISNUMBER(I277)),L277="",AND(F277&lt;&gt;"",COUNTIFS(Umowy!$C$9:$C$108,F277,Umowy!$D$9:$D$108,L277)&lt;&gt;1)),1,0))</f>
        <v>0</v>
      </c>
      <c r="P277" s="7" t="str">
        <f t="shared" si="13"/>
        <v/>
      </c>
      <c r="Q277" s="7" t="str">
        <f t="shared" si="14"/>
        <v/>
      </c>
    </row>
    <row r="278" spans="1:17" ht="24" customHeight="1">
      <c r="A278" s="7"/>
      <c r="B278" s="7"/>
      <c r="C278" s="3"/>
      <c r="D278" s="2"/>
      <c r="E278" s="3"/>
      <c r="F278" s="3"/>
      <c r="G278" s="3"/>
      <c r="H278" s="3"/>
      <c r="I278" s="6"/>
      <c r="J278" s="3"/>
      <c r="K278" s="7"/>
      <c r="L278" s="13" t="str">
        <f>IF(C278="","",IF(COUNTIFS(Parametry!$C$54:$C$113,E278)=1,INDEX(Parametry!$D$54:$D$113,MATCH(E278,Parametry!$C$54:$C$113,0)),""))</f>
        <v/>
      </c>
      <c r="M278" s="7">
        <f t="shared" si="12"/>
        <v>0</v>
      </c>
      <c r="N278" s="13">
        <f>IF(AND(ISNUMBER(D278),ISNUMBER(Parametry!$G$6)),IF(AND(YEAR(D278)=Parametry!$G$6,M278&lt;=Parametry!$G$7),1,0),0)</f>
        <v>0</v>
      </c>
      <c r="O278" s="13">
        <f>IF(C278="",IF(COUNTA(D278:J278)&gt;0,1,0),IF(OR(COUNTIFS($C$9:$C$1008,C278)&lt;&gt;1,NOT(ISNUMBER(D278)),NOT(ISNUMBER(I278)),L278="",AND(F278&lt;&gt;"",COUNTIFS(Umowy!$C$9:$C$108,F278,Umowy!$D$9:$D$108,L278)&lt;&gt;1)),1,0))</f>
        <v>0</v>
      </c>
      <c r="P278" s="7" t="str">
        <f t="shared" si="13"/>
        <v/>
      </c>
      <c r="Q278" s="7" t="str">
        <f t="shared" si="14"/>
        <v/>
      </c>
    </row>
    <row r="279" spans="1:17" ht="24" customHeight="1">
      <c r="A279" s="7"/>
      <c r="B279" s="7"/>
      <c r="C279" s="3"/>
      <c r="D279" s="2"/>
      <c r="E279" s="3"/>
      <c r="F279" s="3"/>
      <c r="G279" s="3"/>
      <c r="H279" s="3"/>
      <c r="I279" s="6"/>
      <c r="J279" s="3"/>
      <c r="K279" s="7"/>
      <c r="L279" s="13" t="str">
        <f>IF(C279="","",IF(COUNTIFS(Parametry!$C$54:$C$113,E279)=1,INDEX(Parametry!$D$54:$D$113,MATCH(E279,Parametry!$C$54:$C$113,0)),""))</f>
        <v/>
      </c>
      <c r="M279" s="7">
        <f t="shared" si="12"/>
        <v>0</v>
      </c>
      <c r="N279" s="13">
        <f>IF(AND(ISNUMBER(D279),ISNUMBER(Parametry!$G$6)),IF(AND(YEAR(D279)=Parametry!$G$6,M279&lt;=Parametry!$G$7),1,0),0)</f>
        <v>0</v>
      </c>
      <c r="O279" s="13">
        <f>IF(C279="",IF(COUNTA(D279:J279)&gt;0,1,0),IF(OR(COUNTIFS($C$9:$C$1008,C279)&lt;&gt;1,NOT(ISNUMBER(D279)),NOT(ISNUMBER(I279)),L279="",AND(F279&lt;&gt;"",COUNTIFS(Umowy!$C$9:$C$108,F279,Umowy!$D$9:$D$108,L279)&lt;&gt;1)),1,0))</f>
        <v>0</v>
      </c>
      <c r="P279" s="7" t="str">
        <f t="shared" si="13"/>
        <v/>
      </c>
      <c r="Q279" s="7" t="str">
        <f t="shared" si="14"/>
        <v/>
      </c>
    </row>
    <row r="280" spans="1:17" ht="24" customHeight="1">
      <c r="A280" s="7"/>
      <c r="B280" s="7"/>
      <c r="C280" s="3"/>
      <c r="D280" s="2"/>
      <c r="E280" s="3"/>
      <c r="F280" s="3"/>
      <c r="G280" s="3"/>
      <c r="H280" s="3"/>
      <c r="I280" s="6"/>
      <c r="J280" s="3"/>
      <c r="K280" s="7"/>
      <c r="L280" s="13" t="str">
        <f>IF(C280="","",IF(COUNTIFS(Parametry!$C$54:$C$113,E280)=1,INDEX(Parametry!$D$54:$D$113,MATCH(E280,Parametry!$C$54:$C$113,0)),""))</f>
        <v/>
      </c>
      <c r="M280" s="7">
        <f t="shared" si="12"/>
        <v>0</v>
      </c>
      <c r="N280" s="13">
        <f>IF(AND(ISNUMBER(D280),ISNUMBER(Parametry!$G$6)),IF(AND(YEAR(D280)=Parametry!$G$6,M280&lt;=Parametry!$G$7),1,0),0)</f>
        <v>0</v>
      </c>
      <c r="O280" s="13">
        <f>IF(C280="",IF(COUNTA(D280:J280)&gt;0,1,0),IF(OR(COUNTIFS($C$9:$C$1008,C280)&lt;&gt;1,NOT(ISNUMBER(D280)),NOT(ISNUMBER(I280)),L280="",AND(F280&lt;&gt;"",COUNTIFS(Umowy!$C$9:$C$108,F280,Umowy!$D$9:$D$108,L280)&lt;&gt;1)),1,0))</f>
        <v>0</v>
      </c>
      <c r="P280" s="7" t="str">
        <f t="shared" si="13"/>
        <v/>
      </c>
      <c r="Q280" s="7" t="str">
        <f t="shared" si="14"/>
        <v/>
      </c>
    </row>
    <row r="281" spans="1:17" ht="24" customHeight="1">
      <c r="A281" s="7"/>
      <c r="B281" s="7"/>
      <c r="C281" s="3"/>
      <c r="D281" s="2"/>
      <c r="E281" s="3"/>
      <c r="F281" s="3"/>
      <c r="G281" s="3"/>
      <c r="H281" s="3"/>
      <c r="I281" s="6"/>
      <c r="J281" s="3"/>
      <c r="K281" s="7"/>
      <c r="L281" s="13" t="str">
        <f>IF(C281="","",IF(COUNTIFS(Parametry!$C$54:$C$113,E281)=1,INDEX(Parametry!$D$54:$D$113,MATCH(E281,Parametry!$C$54:$C$113,0)),""))</f>
        <v/>
      </c>
      <c r="M281" s="7">
        <f t="shared" si="12"/>
        <v>0</v>
      </c>
      <c r="N281" s="13">
        <f>IF(AND(ISNUMBER(D281),ISNUMBER(Parametry!$G$6)),IF(AND(YEAR(D281)=Parametry!$G$6,M281&lt;=Parametry!$G$7),1,0),0)</f>
        <v>0</v>
      </c>
      <c r="O281" s="13">
        <f>IF(C281="",IF(COUNTA(D281:J281)&gt;0,1,0),IF(OR(COUNTIFS($C$9:$C$1008,C281)&lt;&gt;1,NOT(ISNUMBER(D281)),NOT(ISNUMBER(I281)),L281="",AND(F281&lt;&gt;"",COUNTIFS(Umowy!$C$9:$C$108,F281,Umowy!$D$9:$D$108,L281)&lt;&gt;1)),1,0))</f>
        <v>0</v>
      </c>
      <c r="P281" s="7" t="str">
        <f t="shared" si="13"/>
        <v/>
      </c>
      <c r="Q281" s="7" t="str">
        <f t="shared" si="14"/>
        <v/>
      </c>
    </row>
    <row r="282" spans="1:17" ht="24" customHeight="1">
      <c r="A282" s="7"/>
      <c r="B282" s="7"/>
      <c r="C282" s="3"/>
      <c r="D282" s="2"/>
      <c r="E282" s="3"/>
      <c r="F282" s="3"/>
      <c r="G282" s="3"/>
      <c r="H282" s="3"/>
      <c r="I282" s="6"/>
      <c r="J282" s="3"/>
      <c r="K282" s="7"/>
      <c r="L282" s="13" t="str">
        <f>IF(C282="","",IF(COUNTIFS(Parametry!$C$54:$C$113,E282)=1,INDEX(Parametry!$D$54:$D$113,MATCH(E282,Parametry!$C$54:$C$113,0)),""))</f>
        <v/>
      </c>
      <c r="M282" s="7">
        <f t="shared" si="12"/>
        <v>0</v>
      </c>
      <c r="N282" s="13">
        <f>IF(AND(ISNUMBER(D282),ISNUMBER(Parametry!$G$6)),IF(AND(YEAR(D282)=Parametry!$G$6,M282&lt;=Parametry!$G$7),1,0),0)</f>
        <v>0</v>
      </c>
      <c r="O282" s="13">
        <f>IF(C282="",IF(COUNTA(D282:J282)&gt;0,1,0),IF(OR(COUNTIFS($C$9:$C$1008,C282)&lt;&gt;1,NOT(ISNUMBER(D282)),NOT(ISNUMBER(I282)),L282="",AND(F282&lt;&gt;"",COUNTIFS(Umowy!$C$9:$C$108,F282,Umowy!$D$9:$D$108,L282)&lt;&gt;1)),1,0))</f>
        <v>0</v>
      </c>
      <c r="P282" s="7" t="str">
        <f t="shared" si="13"/>
        <v/>
      </c>
      <c r="Q282" s="7" t="str">
        <f t="shared" si="14"/>
        <v/>
      </c>
    </row>
    <row r="283" spans="1:17" ht="24" customHeight="1">
      <c r="A283" s="7"/>
      <c r="B283" s="7"/>
      <c r="C283" s="3"/>
      <c r="D283" s="2"/>
      <c r="E283" s="3"/>
      <c r="F283" s="3"/>
      <c r="G283" s="3"/>
      <c r="H283" s="3"/>
      <c r="I283" s="6"/>
      <c r="J283" s="3"/>
      <c r="K283" s="7"/>
      <c r="L283" s="13" t="str">
        <f>IF(C283="","",IF(COUNTIFS(Parametry!$C$54:$C$113,E283)=1,INDEX(Parametry!$D$54:$D$113,MATCH(E283,Parametry!$C$54:$C$113,0)),""))</f>
        <v/>
      </c>
      <c r="M283" s="7">
        <f t="shared" si="12"/>
        <v>0</v>
      </c>
      <c r="N283" s="13">
        <f>IF(AND(ISNUMBER(D283),ISNUMBER(Parametry!$G$6)),IF(AND(YEAR(D283)=Parametry!$G$6,M283&lt;=Parametry!$G$7),1,0),0)</f>
        <v>0</v>
      </c>
      <c r="O283" s="13">
        <f>IF(C283="",IF(COUNTA(D283:J283)&gt;0,1,0),IF(OR(COUNTIFS($C$9:$C$1008,C283)&lt;&gt;1,NOT(ISNUMBER(D283)),NOT(ISNUMBER(I283)),L283="",AND(F283&lt;&gt;"",COUNTIFS(Umowy!$C$9:$C$108,F283,Umowy!$D$9:$D$108,L283)&lt;&gt;1)),1,0))</f>
        <v>0</v>
      </c>
      <c r="P283" s="7" t="str">
        <f t="shared" si="13"/>
        <v/>
      </c>
      <c r="Q283" s="7" t="str">
        <f t="shared" si="14"/>
        <v/>
      </c>
    </row>
    <row r="284" spans="1:17" ht="24" customHeight="1">
      <c r="A284" s="7"/>
      <c r="B284" s="7"/>
      <c r="C284" s="3"/>
      <c r="D284" s="2"/>
      <c r="E284" s="3"/>
      <c r="F284" s="3"/>
      <c r="G284" s="3"/>
      <c r="H284" s="3"/>
      <c r="I284" s="6"/>
      <c r="J284" s="3"/>
      <c r="K284" s="7"/>
      <c r="L284" s="13" t="str">
        <f>IF(C284="","",IF(COUNTIFS(Parametry!$C$54:$C$113,E284)=1,INDEX(Parametry!$D$54:$D$113,MATCH(E284,Parametry!$C$54:$C$113,0)),""))</f>
        <v/>
      </c>
      <c r="M284" s="7">
        <f t="shared" si="12"/>
        <v>0</v>
      </c>
      <c r="N284" s="13">
        <f>IF(AND(ISNUMBER(D284),ISNUMBER(Parametry!$G$6)),IF(AND(YEAR(D284)=Parametry!$G$6,M284&lt;=Parametry!$G$7),1,0),0)</f>
        <v>0</v>
      </c>
      <c r="O284" s="13">
        <f>IF(C284="",IF(COUNTA(D284:J284)&gt;0,1,0),IF(OR(COUNTIFS($C$9:$C$1008,C284)&lt;&gt;1,NOT(ISNUMBER(D284)),NOT(ISNUMBER(I284)),L284="",AND(F284&lt;&gt;"",COUNTIFS(Umowy!$C$9:$C$108,F284,Umowy!$D$9:$D$108,L284)&lt;&gt;1)),1,0))</f>
        <v>0</v>
      </c>
      <c r="P284" s="7" t="str">
        <f t="shared" si="13"/>
        <v/>
      </c>
      <c r="Q284" s="7" t="str">
        <f t="shared" si="14"/>
        <v/>
      </c>
    </row>
    <row r="285" spans="1:17" ht="24" customHeight="1">
      <c r="A285" s="7"/>
      <c r="B285" s="7"/>
      <c r="C285" s="3"/>
      <c r="D285" s="2"/>
      <c r="E285" s="3"/>
      <c r="F285" s="3"/>
      <c r="G285" s="3"/>
      <c r="H285" s="3"/>
      <c r="I285" s="6"/>
      <c r="J285" s="3"/>
      <c r="K285" s="7"/>
      <c r="L285" s="13" t="str">
        <f>IF(C285="","",IF(COUNTIFS(Parametry!$C$54:$C$113,E285)=1,INDEX(Parametry!$D$54:$D$113,MATCH(E285,Parametry!$C$54:$C$113,0)),""))</f>
        <v/>
      </c>
      <c r="M285" s="7">
        <f t="shared" si="12"/>
        <v>0</v>
      </c>
      <c r="N285" s="13">
        <f>IF(AND(ISNUMBER(D285),ISNUMBER(Parametry!$G$6)),IF(AND(YEAR(D285)=Parametry!$G$6,M285&lt;=Parametry!$G$7),1,0),0)</f>
        <v>0</v>
      </c>
      <c r="O285" s="13">
        <f>IF(C285="",IF(COUNTA(D285:J285)&gt;0,1,0),IF(OR(COUNTIFS($C$9:$C$1008,C285)&lt;&gt;1,NOT(ISNUMBER(D285)),NOT(ISNUMBER(I285)),L285="",AND(F285&lt;&gt;"",COUNTIFS(Umowy!$C$9:$C$108,F285,Umowy!$D$9:$D$108,L285)&lt;&gt;1)),1,0))</f>
        <v>0</v>
      </c>
      <c r="P285" s="7" t="str">
        <f t="shared" si="13"/>
        <v/>
      </c>
      <c r="Q285" s="7" t="str">
        <f t="shared" si="14"/>
        <v/>
      </c>
    </row>
    <row r="286" spans="1:17" ht="24" customHeight="1">
      <c r="A286" s="7"/>
      <c r="B286" s="7"/>
      <c r="C286" s="3"/>
      <c r="D286" s="2"/>
      <c r="E286" s="3"/>
      <c r="F286" s="3"/>
      <c r="G286" s="3"/>
      <c r="H286" s="3"/>
      <c r="I286" s="6"/>
      <c r="J286" s="3"/>
      <c r="K286" s="7"/>
      <c r="L286" s="13" t="str">
        <f>IF(C286="","",IF(COUNTIFS(Parametry!$C$54:$C$113,E286)=1,INDEX(Parametry!$D$54:$D$113,MATCH(E286,Parametry!$C$54:$C$113,0)),""))</f>
        <v/>
      </c>
      <c r="M286" s="7">
        <f t="shared" si="12"/>
        <v>0</v>
      </c>
      <c r="N286" s="13">
        <f>IF(AND(ISNUMBER(D286),ISNUMBER(Parametry!$G$6)),IF(AND(YEAR(D286)=Parametry!$G$6,M286&lt;=Parametry!$G$7),1,0),0)</f>
        <v>0</v>
      </c>
      <c r="O286" s="13">
        <f>IF(C286="",IF(COUNTA(D286:J286)&gt;0,1,0),IF(OR(COUNTIFS($C$9:$C$1008,C286)&lt;&gt;1,NOT(ISNUMBER(D286)),NOT(ISNUMBER(I286)),L286="",AND(F286&lt;&gt;"",COUNTIFS(Umowy!$C$9:$C$108,F286,Umowy!$D$9:$D$108,L286)&lt;&gt;1)),1,0))</f>
        <v>0</v>
      </c>
      <c r="P286" s="7" t="str">
        <f t="shared" si="13"/>
        <v/>
      </c>
      <c r="Q286" s="7" t="str">
        <f t="shared" si="14"/>
        <v/>
      </c>
    </row>
    <row r="287" spans="1:17" ht="24" customHeight="1">
      <c r="A287" s="7"/>
      <c r="B287" s="7"/>
      <c r="C287" s="3"/>
      <c r="D287" s="2"/>
      <c r="E287" s="3"/>
      <c r="F287" s="3"/>
      <c r="G287" s="3"/>
      <c r="H287" s="3"/>
      <c r="I287" s="6"/>
      <c r="J287" s="3"/>
      <c r="K287" s="7"/>
      <c r="L287" s="13" t="str">
        <f>IF(C287="","",IF(COUNTIFS(Parametry!$C$54:$C$113,E287)=1,INDEX(Parametry!$D$54:$D$113,MATCH(E287,Parametry!$C$54:$C$113,0)),""))</f>
        <v/>
      </c>
      <c r="M287" s="7">
        <f t="shared" si="12"/>
        <v>0</v>
      </c>
      <c r="N287" s="13">
        <f>IF(AND(ISNUMBER(D287),ISNUMBER(Parametry!$G$6)),IF(AND(YEAR(D287)=Parametry!$G$6,M287&lt;=Parametry!$G$7),1,0),0)</f>
        <v>0</v>
      </c>
      <c r="O287" s="13">
        <f>IF(C287="",IF(COUNTA(D287:J287)&gt;0,1,0),IF(OR(COUNTIFS($C$9:$C$1008,C287)&lt;&gt;1,NOT(ISNUMBER(D287)),NOT(ISNUMBER(I287)),L287="",AND(F287&lt;&gt;"",COUNTIFS(Umowy!$C$9:$C$108,F287,Umowy!$D$9:$D$108,L287)&lt;&gt;1)),1,0))</f>
        <v>0</v>
      </c>
      <c r="P287" s="7" t="str">
        <f t="shared" si="13"/>
        <v/>
      </c>
      <c r="Q287" s="7" t="str">
        <f t="shared" si="14"/>
        <v/>
      </c>
    </row>
    <row r="288" spans="1:17" ht="24" customHeight="1">
      <c r="A288" s="7"/>
      <c r="B288" s="7"/>
      <c r="C288" s="3"/>
      <c r="D288" s="2"/>
      <c r="E288" s="3"/>
      <c r="F288" s="3"/>
      <c r="G288" s="3"/>
      <c r="H288" s="3"/>
      <c r="I288" s="6"/>
      <c r="J288" s="3"/>
      <c r="K288" s="7"/>
      <c r="L288" s="13" t="str">
        <f>IF(C288="","",IF(COUNTIFS(Parametry!$C$54:$C$113,E288)=1,INDEX(Parametry!$D$54:$D$113,MATCH(E288,Parametry!$C$54:$C$113,0)),""))</f>
        <v/>
      </c>
      <c r="M288" s="7">
        <f t="shared" si="12"/>
        <v>0</v>
      </c>
      <c r="N288" s="13">
        <f>IF(AND(ISNUMBER(D288),ISNUMBER(Parametry!$G$6)),IF(AND(YEAR(D288)=Parametry!$G$6,M288&lt;=Parametry!$G$7),1,0),0)</f>
        <v>0</v>
      </c>
      <c r="O288" s="13">
        <f>IF(C288="",IF(COUNTA(D288:J288)&gt;0,1,0),IF(OR(COUNTIFS($C$9:$C$1008,C288)&lt;&gt;1,NOT(ISNUMBER(D288)),NOT(ISNUMBER(I288)),L288="",AND(F288&lt;&gt;"",COUNTIFS(Umowy!$C$9:$C$108,F288,Umowy!$D$9:$D$108,L288)&lt;&gt;1)),1,0))</f>
        <v>0</v>
      </c>
      <c r="P288" s="7" t="str">
        <f t="shared" si="13"/>
        <v/>
      </c>
      <c r="Q288" s="7" t="str">
        <f t="shared" si="14"/>
        <v/>
      </c>
    </row>
    <row r="289" spans="1:17" ht="24" customHeight="1">
      <c r="A289" s="7"/>
      <c r="B289" s="7"/>
      <c r="C289" s="3"/>
      <c r="D289" s="2"/>
      <c r="E289" s="3"/>
      <c r="F289" s="3"/>
      <c r="G289" s="3"/>
      <c r="H289" s="3"/>
      <c r="I289" s="6"/>
      <c r="J289" s="3"/>
      <c r="K289" s="7"/>
      <c r="L289" s="13" t="str">
        <f>IF(C289="","",IF(COUNTIFS(Parametry!$C$54:$C$113,E289)=1,INDEX(Parametry!$D$54:$D$113,MATCH(E289,Parametry!$C$54:$C$113,0)),""))</f>
        <v/>
      </c>
      <c r="M289" s="7">
        <f t="shared" si="12"/>
        <v>0</v>
      </c>
      <c r="N289" s="13">
        <f>IF(AND(ISNUMBER(D289),ISNUMBER(Parametry!$G$6)),IF(AND(YEAR(D289)=Parametry!$G$6,M289&lt;=Parametry!$G$7),1,0),0)</f>
        <v>0</v>
      </c>
      <c r="O289" s="13">
        <f>IF(C289="",IF(COUNTA(D289:J289)&gt;0,1,0),IF(OR(COUNTIFS($C$9:$C$1008,C289)&lt;&gt;1,NOT(ISNUMBER(D289)),NOT(ISNUMBER(I289)),L289="",AND(F289&lt;&gt;"",COUNTIFS(Umowy!$C$9:$C$108,F289,Umowy!$D$9:$D$108,L289)&lt;&gt;1)),1,0))</f>
        <v>0</v>
      </c>
      <c r="P289" s="7" t="str">
        <f t="shared" si="13"/>
        <v/>
      </c>
      <c r="Q289" s="7" t="str">
        <f t="shared" si="14"/>
        <v/>
      </c>
    </row>
    <row r="290" spans="1:17" ht="24" customHeight="1">
      <c r="A290" s="7"/>
      <c r="B290" s="7"/>
      <c r="C290" s="3"/>
      <c r="D290" s="2"/>
      <c r="E290" s="3"/>
      <c r="F290" s="3"/>
      <c r="G290" s="3"/>
      <c r="H290" s="3"/>
      <c r="I290" s="6"/>
      <c r="J290" s="3"/>
      <c r="K290" s="7"/>
      <c r="L290" s="13" t="str">
        <f>IF(C290="","",IF(COUNTIFS(Parametry!$C$54:$C$113,E290)=1,INDEX(Parametry!$D$54:$D$113,MATCH(E290,Parametry!$C$54:$C$113,0)),""))</f>
        <v/>
      </c>
      <c r="M290" s="7">
        <f t="shared" si="12"/>
        <v>0</v>
      </c>
      <c r="N290" s="13">
        <f>IF(AND(ISNUMBER(D290),ISNUMBER(Parametry!$G$6)),IF(AND(YEAR(D290)=Parametry!$G$6,M290&lt;=Parametry!$G$7),1,0),0)</f>
        <v>0</v>
      </c>
      <c r="O290" s="13">
        <f>IF(C290="",IF(COUNTA(D290:J290)&gt;0,1,0),IF(OR(COUNTIFS($C$9:$C$1008,C290)&lt;&gt;1,NOT(ISNUMBER(D290)),NOT(ISNUMBER(I290)),L290="",AND(F290&lt;&gt;"",COUNTIFS(Umowy!$C$9:$C$108,F290,Umowy!$D$9:$D$108,L290)&lt;&gt;1)),1,0))</f>
        <v>0</v>
      </c>
      <c r="P290" s="7" t="str">
        <f t="shared" si="13"/>
        <v/>
      </c>
      <c r="Q290" s="7" t="str">
        <f t="shared" si="14"/>
        <v/>
      </c>
    </row>
    <row r="291" spans="1:17" ht="24" customHeight="1">
      <c r="A291" s="7"/>
      <c r="B291" s="7"/>
      <c r="C291" s="3"/>
      <c r="D291" s="2"/>
      <c r="E291" s="3"/>
      <c r="F291" s="3"/>
      <c r="G291" s="3"/>
      <c r="H291" s="3"/>
      <c r="I291" s="6"/>
      <c r="J291" s="3"/>
      <c r="K291" s="7"/>
      <c r="L291" s="13" t="str">
        <f>IF(C291="","",IF(COUNTIFS(Parametry!$C$54:$C$113,E291)=1,INDEX(Parametry!$D$54:$D$113,MATCH(E291,Parametry!$C$54:$C$113,0)),""))</f>
        <v/>
      </c>
      <c r="M291" s="7">
        <f t="shared" si="12"/>
        <v>0</v>
      </c>
      <c r="N291" s="13">
        <f>IF(AND(ISNUMBER(D291),ISNUMBER(Parametry!$G$6)),IF(AND(YEAR(D291)=Parametry!$G$6,M291&lt;=Parametry!$G$7),1,0),0)</f>
        <v>0</v>
      </c>
      <c r="O291" s="13">
        <f>IF(C291="",IF(COUNTA(D291:J291)&gt;0,1,0),IF(OR(COUNTIFS($C$9:$C$1008,C291)&lt;&gt;1,NOT(ISNUMBER(D291)),NOT(ISNUMBER(I291)),L291="",AND(F291&lt;&gt;"",COUNTIFS(Umowy!$C$9:$C$108,F291,Umowy!$D$9:$D$108,L291)&lt;&gt;1)),1,0))</f>
        <v>0</v>
      </c>
      <c r="P291" s="7" t="str">
        <f t="shared" si="13"/>
        <v/>
      </c>
      <c r="Q291" s="7" t="str">
        <f t="shared" si="14"/>
        <v/>
      </c>
    </row>
    <row r="292" spans="1:17" ht="24" customHeight="1">
      <c r="A292" s="7"/>
      <c r="B292" s="7"/>
      <c r="C292" s="3"/>
      <c r="D292" s="2"/>
      <c r="E292" s="3"/>
      <c r="F292" s="3"/>
      <c r="G292" s="3"/>
      <c r="H292" s="3"/>
      <c r="I292" s="6"/>
      <c r="J292" s="3"/>
      <c r="K292" s="7"/>
      <c r="L292" s="13" t="str">
        <f>IF(C292="","",IF(COUNTIFS(Parametry!$C$54:$C$113,E292)=1,INDEX(Parametry!$D$54:$D$113,MATCH(E292,Parametry!$C$54:$C$113,0)),""))</f>
        <v/>
      </c>
      <c r="M292" s="7">
        <f t="shared" si="12"/>
        <v>0</v>
      </c>
      <c r="N292" s="13">
        <f>IF(AND(ISNUMBER(D292),ISNUMBER(Parametry!$G$6)),IF(AND(YEAR(D292)=Parametry!$G$6,M292&lt;=Parametry!$G$7),1,0),0)</f>
        <v>0</v>
      </c>
      <c r="O292" s="13">
        <f>IF(C292="",IF(COUNTA(D292:J292)&gt;0,1,0),IF(OR(COUNTIFS($C$9:$C$1008,C292)&lt;&gt;1,NOT(ISNUMBER(D292)),NOT(ISNUMBER(I292)),L292="",AND(F292&lt;&gt;"",COUNTIFS(Umowy!$C$9:$C$108,F292,Umowy!$D$9:$D$108,L292)&lt;&gt;1)),1,0))</f>
        <v>0</v>
      </c>
      <c r="P292" s="7" t="str">
        <f t="shared" si="13"/>
        <v/>
      </c>
      <c r="Q292" s="7" t="str">
        <f t="shared" si="14"/>
        <v/>
      </c>
    </row>
    <row r="293" spans="1:17" ht="24" customHeight="1">
      <c r="A293" s="7"/>
      <c r="B293" s="7"/>
      <c r="C293" s="3"/>
      <c r="D293" s="2"/>
      <c r="E293" s="3"/>
      <c r="F293" s="3"/>
      <c r="G293" s="3"/>
      <c r="H293" s="3"/>
      <c r="I293" s="6"/>
      <c r="J293" s="3"/>
      <c r="K293" s="7"/>
      <c r="L293" s="13" t="str">
        <f>IF(C293="","",IF(COUNTIFS(Parametry!$C$54:$C$113,E293)=1,INDEX(Parametry!$D$54:$D$113,MATCH(E293,Parametry!$C$54:$C$113,0)),""))</f>
        <v/>
      </c>
      <c r="M293" s="7">
        <f t="shared" si="12"/>
        <v>0</v>
      </c>
      <c r="N293" s="13">
        <f>IF(AND(ISNUMBER(D293),ISNUMBER(Parametry!$G$6)),IF(AND(YEAR(D293)=Parametry!$G$6,M293&lt;=Parametry!$G$7),1,0),0)</f>
        <v>0</v>
      </c>
      <c r="O293" s="13">
        <f>IF(C293="",IF(COUNTA(D293:J293)&gt;0,1,0),IF(OR(COUNTIFS($C$9:$C$1008,C293)&lt;&gt;1,NOT(ISNUMBER(D293)),NOT(ISNUMBER(I293)),L293="",AND(F293&lt;&gt;"",COUNTIFS(Umowy!$C$9:$C$108,F293,Umowy!$D$9:$D$108,L293)&lt;&gt;1)),1,0))</f>
        <v>0</v>
      </c>
      <c r="P293" s="7" t="str">
        <f t="shared" si="13"/>
        <v/>
      </c>
      <c r="Q293" s="7" t="str">
        <f t="shared" si="14"/>
        <v/>
      </c>
    </row>
    <row r="294" spans="1:17" ht="24" customHeight="1">
      <c r="A294" s="7"/>
      <c r="B294" s="7"/>
      <c r="C294" s="3"/>
      <c r="D294" s="2"/>
      <c r="E294" s="3"/>
      <c r="F294" s="3"/>
      <c r="G294" s="3"/>
      <c r="H294" s="3"/>
      <c r="I294" s="6"/>
      <c r="J294" s="3"/>
      <c r="K294" s="7"/>
      <c r="L294" s="13" t="str">
        <f>IF(C294="","",IF(COUNTIFS(Parametry!$C$54:$C$113,E294)=1,INDEX(Parametry!$D$54:$D$113,MATCH(E294,Parametry!$C$54:$C$113,0)),""))</f>
        <v/>
      </c>
      <c r="M294" s="7">
        <f t="shared" si="12"/>
        <v>0</v>
      </c>
      <c r="N294" s="13">
        <f>IF(AND(ISNUMBER(D294),ISNUMBER(Parametry!$G$6)),IF(AND(YEAR(D294)=Parametry!$G$6,M294&lt;=Parametry!$G$7),1,0),0)</f>
        <v>0</v>
      </c>
      <c r="O294" s="13">
        <f>IF(C294="",IF(COUNTA(D294:J294)&gt;0,1,0),IF(OR(COUNTIFS($C$9:$C$1008,C294)&lt;&gt;1,NOT(ISNUMBER(D294)),NOT(ISNUMBER(I294)),L294="",AND(F294&lt;&gt;"",COUNTIFS(Umowy!$C$9:$C$108,F294,Umowy!$D$9:$D$108,L294)&lt;&gt;1)),1,0))</f>
        <v>0</v>
      </c>
      <c r="P294" s="7" t="str">
        <f t="shared" si="13"/>
        <v/>
      </c>
      <c r="Q294" s="7" t="str">
        <f t="shared" si="14"/>
        <v/>
      </c>
    </row>
    <row r="295" spans="1:17" ht="24" customHeight="1">
      <c r="A295" s="7"/>
      <c r="B295" s="7"/>
      <c r="C295" s="3"/>
      <c r="D295" s="2"/>
      <c r="E295" s="3"/>
      <c r="F295" s="3"/>
      <c r="G295" s="3"/>
      <c r="H295" s="3"/>
      <c r="I295" s="6"/>
      <c r="J295" s="3"/>
      <c r="K295" s="7"/>
      <c r="L295" s="13" t="str">
        <f>IF(C295="","",IF(COUNTIFS(Parametry!$C$54:$C$113,E295)=1,INDEX(Parametry!$D$54:$D$113,MATCH(E295,Parametry!$C$54:$C$113,0)),""))</f>
        <v/>
      </c>
      <c r="M295" s="7">
        <f t="shared" si="12"/>
        <v>0</v>
      </c>
      <c r="N295" s="13">
        <f>IF(AND(ISNUMBER(D295),ISNUMBER(Parametry!$G$6)),IF(AND(YEAR(D295)=Parametry!$G$6,M295&lt;=Parametry!$G$7),1,0),0)</f>
        <v>0</v>
      </c>
      <c r="O295" s="13">
        <f>IF(C295="",IF(COUNTA(D295:J295)&gt;0,1,0),IF(OR(COUNTIFS($C$9:$C$1008,C295)&lt;&gt;1,NOT(ISNUMBER(D295)),NOT(ISNUMBER(I295)),L295="",AND(F295&lt;&gt;"",COUNTIFS(Umowy!$C$9:$C$108,F295,Umowy!$D$9:$D$108,L295)&lt;&gt;1)),1,0))</f>
        <v>0</v>
      </c>
      <c r="P295" s="7" t="str">
        <f t="shared" si="13"/>
        <v/>
      </c>
      <c r="Q295" s="7" t="str">
        <f t="shared" si="14"/>
        <v/>
      </c>
    </row>
    <row r="296" spans="1:17" ht="24" customHeight="1">
      <c r="A296" s="7"/>
      <c r="B296" s="7"/>
      <c r="C296" s="3"/>
      <c r="D296" s="2"/>
      <c r="E296" s="3"/>
      <c r="F296" s="3"/>
      <c r="G296" s="3"/>
      <c r="H296" s="3"/>
      <c r="I296" s="6"/>
      <c r="J296" s="3"/>
      <c r="K296" s="7"/>
      <c r="L296" s="13" t="str">
        <f>IF(C296="","",IF(COUNTIFS(Parametry!$C$54:$C$113,E296)=1,INDEX(Parametry!$D$54:$D$113,MATCH(E296,Parametry!$C$54:$C$113,0)),""))</f>
        <v/>
      </c>
      <c r="M296" s="7">
        <f t="shared" si="12"/>
        <v>0</v>
      </c>
      <c r="N296" s="13">
        <f>IF(AND(ISNUMBER(D296),ISNUMBER(Parametry!$G$6)),IF(AND(YEAR(D296)=Parametry!$G$6,M296&lt;=Parametry!$G$7),1,0),0)</f>
        <v>0</v>
      </c>
      <c r="O296" s="13">
        <f>IF(C296="",IF(COUNTA(D296:J296)&gt;0,1,0),IF(OR(COUNTIFS($C$9:$C$1008,C296)&lt;&gt;1,NOT(ISNUMBER(D296)),NOT(ISNUMBER(I296)),L296="",AND(F296&lt;&gt;"",COUNTIFS(Umowy!$C$9:$C$108,F296,Umowy!$D$9:$D$108,L296)&lt;&gt;1)),1,0))</f>
        <v>0</v>
      </c>
      <c r="P296" s="7" t="str">
        <f t="shared" si="13"/>
        <v/>
      </c>
      <c r="Q296" s="7" t="str">
        <f t="shared" si="14"/>
        <v/>
      </c>
    </row>
    <row r="297" spans="1:17" ht="24" customHeight="1">
      <c r="A297" s="7"/>
      <c r="B297" s="7"/>
      <c r="C297" s="3"/>
      <c r="D297" s="2"/>
      <c r="E297" s="3"/>
      <c r="F297" s="3"/>
      <c r="G297" s="3"/>
      <c r="H297" s="3"/>
      <c r="I297" s="6"/>
      <c r="J297" s="3"/>
      <c r="K297" s="7"/>
      <c r="L297" s="13" t="str">
        <f>IF(C297="","",IF(COUNTIFS(Parametry!$C$54:$C$113,E297)=1,INDEX(Parametry!$D$54:$D$113,MATCH(E297,Parametry!$C$54:$C$113,0)),""))</f>
        <v/>
      </c>
      <c r="M297" s="7">
        <f t="shared" si="12"/>
        <v>0</v>
      </c>
      <c r="N297" s="13">
        <f>IF(AND(ISNUMBER(D297),ISNUMBER(Parametry!$G$6)),IF(AND(YEAR(D297)=Parametry!$G$6,M297&lt;=Parametry!$G$7),1,0),0)</f>
        <v>0</v>
      </c>
      <c r="O297" s="13">
        <f>IF(C297="",IF(COUNTA(D297:J297)&gt;0,1,0),IF(OR(COUNTIFS($C$9:$C$1008,C297)&lt;&gt;1,NOT(ISNUMBER(D297)),NOT(ISNUMBER(I297)),L297="",AND(F297&lt;&gt;"",COUNTIFS(Umowy!$C$9:$C$108,F297,Umowy!$D$9:$D$108,L297)&lt;&gt;1)),1,0))</f>
        <v>0</v>
      </c>
      <c r="P297" s="7" t="str">
        <f t="shared" si="13"/>
        <v/>
      </c>
      <c r="Q297" s="7" t="str">
        <f t="shared" si="14"/>
        <v/>
      </c>
    </row>
    <row r="298" spans="1:17" ht="24" customHeight="1">
      <c r="A298" s="7"/>
      <c r="B298" s="7"/>
      <c r="C298" s="3"/>
      <c r="D298" s="2"/>
      <c r="E298" s="3"/>
      <c r="F298" s="3"/>
      <c r="G298" s="3"/>
      <c r="H298" s="3"/>
      <c r="I298" s="6"/>
      <c r="J298" s="3"/>
      <c r="K298" s="7"/>
      <c r="L298" s="13" t="str">
        <f>IF(C298="","",IF(COUNTIFS(Parametry!$C$54:$C$113,E298)=1,INDEX(Parametry!$D$54:$D$113,MATCH(E298,Parametry!$C$54:$C$113,0)),""))</f>
        <v/>
      </c>
      <c r="M298" s="7">
        <f t="shared" si="12"/>
        <v>0</v>
      </c>
      <c r="N298" s="13">
        <f>IF(AND(ISNUMBER(D298),ISNUMBER(Parametry!$G$6)),IF(AND(YEAR(D298)=Parametry!$G$6,M298&lt;=Parametry!$G$7),1,0),0)</f>
        <v>0</v>
      </c>
      <c r="O298" s="13">
        <f>IF(C298="",IF(COUNTA(D298:J298)&gt;0,1,0),IF(OR(COUNTIFS($C$9:$C$1008,C298)&lt;&gt;1,NOT(ISNUMBER(D298)),NOT(ISNUMBER(I298)),L298="",AND(F298&lt;&gt;"",COUNTIFS(Umowy!$C$9:$C$108,F298,Umowy!$D$9:$D$108,L298)&lt;&gt;1)),1,0))</f>
        <v>0</v>
      </c>
      <c r="P298" s="7" t="str">
        <f t="shared" si="13"/>
        <v/>
      </c>
      <c r="Q298" s="7" t="str">
        <f t="shared" si="14"/>
        <v/>
      </c>
    </row>
    <row r="299" spans="1:17" ht="24" customHeight="1">
      <c r="A299" s="7"/>
      <c r="B299" s="7"/>
      <c r="C299" s="3"/>
      <c r="D299" s="2"/>
      <c r="E299" s="3"/>
      <c r="F299" s="3"/>
      <c r="G299" s="3"/>
      <c r="H299" s="3"/>
      <c r="I299" s="6"/>
      <c r="J299" s="3"/>
      <c r="K299" s="7"/>
      <c r="L299" s="13" t="str">
        <f>IF(C299="","",IF(COUNTIFS(Parametry!$C$54:$C$113,E299)=1,INDEX(Parametry!$D$54:$D$113,MATCH(E299,Parametry!$C$54:$C$113,0)),""))</f>
        <v/>
      </c>
      <c r="M299" s="7">
        <f t="shared" si="12"/>
        <v>0</v>
      </c>
      <c r="N299" s="13">
        <f>IF(AND(ISNUMBER(D299),ISNUMBER(Parametry!$G$6)),IF(AND(YEAR(D299)=Parametry!$G$6,M299&lt;=Parametry!$G$7),1,0),0)</f>
        <v>0</v>
      </c>
      <c r="O299" s="13">
        <f>IF(C299="",IF(COUNTA(D299:J299)&gt;0,1,0),IF(OR(COUNTIFS($C$9:$C$1008,C299)&lt;&gt;1,NOT(ISNUMBER(D299)),NOT(ISNUMBER(I299)),L299="",AND(F299&lt;&gt;"",COUNTIFS(Umowy!$C$9:$C$108,F299,Umowy!$D$9:$D$108,L299)&lt;&gt;1)),1,0))</f>
        <v>0</v>
      </c>
      <c r="P299" s="7" t="str">
        <f t="shared" si="13"/>
        <v/>
      </c>
      <c r="Q299" s="7" t="str">
        <f t="shared" si="14"/>
        <v/>
      </c>
    </row>
    <row r="300" spans="1:17" ht="24" customHeight="1">
      <c r="A300" s="7"/>
      <c r="B300" s="7"/>
      <c r="C300" s="3"/>
      <c r="D300" s="2"/>
      <c r="E300" s="3"/>
      <c r="F300" s="3"/>
      <c r="G300" s="3"/>
      <c r="H300" s="3"/>
      <c r="I300" s="6"/>
      <c r="J300" s="3"/>
      <c r="K300" s="7"/>
      <c r="L300" s="13" t="str">
        <f>IF(C300="","",IF(COUNTIFS(Parametry!$C$54:$C$113,E300)=1,INDEX(Parametry!$D$54:$D$113,MATCH(E300,Parametry!$C$54:$C$113,0)),""))</f>
        <v/>
      </c>
      <c r="M300" s="7">
        <f t="shared" si="12"/>
        <v>0</v>
      </c>
      <c r="N300" s="13">
        <f>IF(AND(ISNUMBER(D300),ISNUMBER(Parametry!$G$6)),IF(AND(YEAR(D300)=Parametry!$G$6,M300&lt;=Parametry!$G$7),1,0),0)</f>
        <v>0</v>
      </c>
      <c r="O300" s="13">
        <f>IF(C300="",IF(COUNTA(D300:J300)&gt;0,1,0),IF(OR(COUNTIFS($C$9:$C$1008,C300)&lt;&gt;1,NOT(ISNUMBER(D300)),NOT(ISNUMBER(I300)),L300="",AND(F300&lt;&gt;"",COUNTIFS(Umowy!$C$9:$C$108,F300,Umowy!$D$9:$D$108,L300)&lt;&gt;1)),1,0))</f>
        <v>0</v>
      </c>
      <c r="P300" s="7" t="str">
        <f t="shared" si="13"/>
        <v/>
      </c>
      <c r="Q300" s="7" t="str">
        <f t="shared" si="14"/>
        <v/>
      </c>
    </row>
    <row r="301" spans="1:17" ht="24" customHeight="1">
      <c r="A301" s="7"/>
      <c r="B301" s="7"/>
      <c r="C301" s="3"/>
      <c r="D301" s="2"/>
      <c r="E301" s="3"/>
      <c r="F301" s="3"/>
      <c r="G301" s="3"/>
      <c r="H301" s="3"/>
      <c r="I301" s="6"/>
      <c r="J301" s="3"/>
      <c r="K301" s="7"/>
      <c r="L301" s="13" t="str">
        <f>IF(C301="","",IF(COUNTIFS(Parametry!$C$54:$C$113,E301)=1,INDEX(Parametry!$D$54:$D$113,MATCH(E301,Parametry!$C$54:$C$113,0)),""))</f>
        <v/>
      </c>
      <c r="M301" s="7">
        <f t="shared" si="12"/>
        <v>0</v>
      </c>
      <c r="N301" s="13">
        <f>IF(AND(ISNUMBER(D301),ISNUMBER(Parametry!$G$6)),IF(AND(YEAR(D301)=Parametry!$G$6,M301&lt;=Parametry!$G$7),1,0),0)</f>
        <v>0</v>
      </c>
      <c r="O301" s="13">
        <f>IF(C301="",IF(COUNTA(D301:J301)&gt;0,1,0),IF(OR(COUNTIFS($C$9:$C$1008,C301)&lt;&gt;1,NOT(ISNUMBER(D301)),NOT(ISNUMBER(I301)),L301="",AND(F301&lt;&gt;"",COUNTIFS(Umowy!$C$9:$C$108,F301,Umowy!$D$9:$D$108,L301)&lt;&gt;1)),1,0))</f>
        <v>0</v>
      </c>
      <c r="P301" s="7" t="str">
        <f t="shared" si="13"/>
        <v/>
      </c>
      <c r="Q301" s="7" t="str">
        <f t="shared" si="14"/>
        <v/>
      </c>
    </row>
    <row r="302" spans="1:17" ht="24" customHeight="1">
      <c r="A302" s="7"/>
      <c r="B302" s="7"/>
      <c r="C302" s="3"/>
      <c r="D302" s="2"/>
      <c r="E302" s="3"/>
      <c r="F302" s="3"/>
      <c r="G302" s="3"/>
      <c r="H302" s="3"/>
      <c r="I302" s="6"/>
      <c r="J302" s="3"/>
      <c r="K302" s="7"/>
      <c r="L302" s="13" t="str">
        <f>IF(C302="","",IF(COUNTIFS(Parametry!$C$54:$C$113,E302)=1,INDEX(Parametry!$D$54:$D$113,MATCH(E302,Parametry!$C$54:$C$113,0)),""))</f>
        <v/>
      </c>
      <c r="M302" s="7">
        <f t="shared" si="12"/>
        <v>0</v>
      </c>
      <c r="N302" s="13">
        <f>IF(AND(ISNUMBER(D302),ISNUMBER(Parametry!$G$6)),IF(AND(YEAR(D302)=Parametry!$G$6,M302&lt;=Parametry!$G$7),1,0),0)</f>
        <v>0</v>
      </c>
      <c r="O302" s="13">
        <f>IF(C302="",IF(COUNTA(D302:J302)&gt;0,1,0),IF(OR(COUNTIFS($C$9:$C$1008,C302)&lt;&gt;1,NOT(ISNUMBER(D302)),NOT(ISNUMBER(I302)),L302="",AND(F302&lt;&gt;"",COUNTIFS(Umowy!$C$9:$C$108,F302,Umowy!$D$9:$D$108,L302)&lt;&gt;1)),1,0))</f>
        <v>0</v>
      </c>
      <c r="P302" s="7" t="str">
        <f t="shared" si="13"/>
        <v/>
      </c>
      <c r="Q302" s="7" t="str">
        <f t="shared" si="14"/>
        <v/>
      </c>
    </row>
    <row r="303" spans="1:17" ht="24" customHeight="1">
      <c r="A303" s="7"/>
      <c r="B303" s="7"/>
      <c r="C303" s="3"/>
      <c r="D303" s="2"/>
      <c r="E303" s="3"/>
      <c r="F303" s="3"/>
      <c r="G303" s="3"/>
      <c r="H303" s="3"/>
      <c r="I303" s="6"/>
      <c r="J303" s="3"/>
      <c r="K303" s="7"/>
      <c r="L303" s="13" t="str">
        <f>IF(C303="","",IF(COUNTIFS(Parametry!$C$54:$C$113,E303)=1,INDEX(Parametry!$D$54:$D$113,MATCH(E303,Parametry!$C$54:$C$113,0)),""))</f>
        <v/>
      </c>
      <c r="M303" s="7">
        <f t="shared" si="12"/>
        <v>0</v>
      </c>
      <c r="N303" s="13">
        <f>IF(AND(ISNUMBER(D303),ISNUMBER(Parametry!$G$6)),IF(AND(YEAR(D303)=Parametry!$G$6,M303&lt;=Parametry!$G$7),1,0),0)</f>
        <v>0</v>
      </c>
      <c r="O303" s="13">
        <f>IF(C303="",IF(COUNTA(D303:J303)&gt;0,1,0),IF(OR(COUNTIFS($C$9:$C$1008,C303)&lt;&gt;1,NOT(ISNUMBER(D303)),NOT(ISNUMBER(I303)),L303="",AND(F303&lt;&gt;"",COUNTIFS(Umowy!$C$9:$C$108,F303,Umowy!$D$9:$D$108,L303)&lt;&gt;1)),1,0))</f>
        <v>0</v>
      </c>
      <c r="P303" s="7" t="str">
        <f t="shared" si="13"/>
        <v/>
      </c>
      <c r="Q303" s="7" t="str">
        <f t="shared" si="14"/>
        <v/>
      </c>
    </row>
    <row r="304" spans="1:17" ht="24" customHeight="1">
      <c r="A304" s="7"/>
      <c r="B304" s="7"/>
      <c r="C304" s="3"/>
      <c r="D304" s="2"/>
      <c r="E304" s="3"/>
      <c r="F304" s="3"/>
      <c r="G304" s="3"/>
      <c r="H304" s="3"/>
      <c r="I304" s="6"/>
      <c r="J304" s="3"/>
      <c r="K304" s="7"/>
      <c r="L304" s="13" t="str">
        <f>IF(C304="","",IF(COUNTIFS(Parametry!$C$54:$C$113,E304)=1,INDEX(Parametry!$D$54:$D$113,MATCH(E304,Parametry!$C$54:$C$113,0)),""))</f>
        <v/>
      </c>
      <c r="M304" s="7">
        <f t="shared" si="12"/>
        <v>0</v>
      </c>
      <c r="N304" s="13">
        <f>IF(AND(ISNUMBER(D304),ISNUMBER(Parametry!$G$6)),IF(AND(YEAR(D304)=Parametry!$G$6,M304&lt;=Parametry!$G$7),1,0),0)</f>
        <v>0</v>
      </c>
      <c r="O304" s="13">
        <f>IF(C304="",IF(COUNTA(D304:J304)&gt;0,1,0),IF(OR(COUNTIFS($C$9:$C$1008,C304)&lt;&gt;1,NOT(ISNUMBER(D304)),NOT(ISNUMBER(I304)),L304="",AND(F304&lt;&gt;"",COUNTIFS(Umowy!$C$9:$C$108,F304,Umowy!$D$9:$D$108,L304)&lt;&gt;1)),1,0))</f>
        <v>0</v>
      </c>
      <c r="P304" s="7" t="str">
        <f t="shared" si="13"/>
        <v/>
      </c>
      <c r="Q304" s="7" t="str">
        <f t="shared" si="14"/>
        <v/>
      </c>
    </row>
    <row r="305" spans="1:17" ht="24" customHeight="1">
      <c r="A305" s="7"/>
      <c r="B305" s="7"/>
      <c r="C305" s="3"/>
      <c r="D305" s="2"/>
      <c r="E305" s="3"/>
      <c r="F305" s="3"/>
      <c r="G305" s="3"/>
      <c r="H305" s="3"/>
      <c r="I305" s="6"/>
      <c r="J305" s="3"/>
      <c r="K305" s="7"/>
      <c r="L305" s="13" t="str">
        <f>IF(C305="","",IF(COUNTIFS(Parametry!$C$54:$C$113,E305)=1,INDEX(Parametry!$D$54:$D$113,MATCH(E305,Parametry!$C$54:$C$113,0)),""))</f>
        <v/>
      </c>
      <c r="M305" s="7">
        <f t="shared" si="12"/>
        <v>0</v>
      </c>
      <c r="N305" s="13">
        <f>IF(AND(ISNUMBER(D305),ISNUMBER(Parametry!$G$6)),IF(AND(YEAR(D305)=Parametry!$G$6,M305&lt;=Parametry!$G$7),1,0),0)</f>
        <v>0</v>
      </c>
      <c r="O305" s="13">
        <f>IF(C305="",IF(COUNTA(D305:J305)&gt;0,1,0),IF(OR(COUNTIFS($C$9:$C$1008,C305)&lt;&gt;1,NOT(ISNUMBER(D305)),NOT(ISNUMBER(I305)),L305="",AND(F305&lt;&gt;"",COUNTIFS(Umowy!$C$9:$C$108,F305,Umowy!$D$9:$D$108,L305)&lt;&gt;1)),1,0))</f>
        <v>0</v>
      </c>
      <c r="P305" s="7" t="str">
        <f t="shared" si="13"/>
        <v/>
      </c>
      <c r="Q305" s="7" t="str">
        <f t="shared" si="14"/>
        <v/>
      </c>
    </row>
    <row r="306" spans="1:17" ht="24" customHeight="1">
      <c r="A306" s="7"/>
      <c r="B306" s="7"/>
      <c r="C306" s="3"/>
      <c r="D306" s="2"/>
      <c r="E306" s="3"/>
      <c r="F306" s="3"/>
      <c r="G306" s="3"/>
      <c r="H306" s="3"/>
      <c r="I306" s="6"/>
      <c r="J306" s="3"/>
      <c r="K306" s="7"/>
      <c r="L306" s="13" t="str">
        <f>IF(C306="","",IF(COUNTIFS(Parametry!$C$54:$C$113,E306)=1,INDEX(Parametry!$D$54:$D$113,MATCH(E306,Parametry!$C$54:$C$113,0)),""))</f>
        <v/>
      </c>
      <c r="M306" s="7">
        <f t="shared" si="12"/>
        <v>0</v>
      </c>
      <c r="N306" s="13">
        <f>IF(AND(ISNUMBER(D306),ISNUMBER(Parametry!$G$6)),IF(AND(YEAR(D306)=Parametry!$G$6,M306&lt;=Parametry!$G$7),1,0),0)</f>
        <v>0</v>
      </c>
      <c r="O306" s="13">
        <f>IF(C306="",IF(COUNTA(D306:J306)&gt;0,1,0),IF(OR(COUNTIFS($C$9:$C$1008,C306)&lt;&gt;1,NOT(ISNUMBER(D306)),NOT(ISNUMBER(I306)),L306="",AND(F306&lt;&gt;"",COUNTIFS(Umowy!$C$9:$C$108,F306,Umowy!$D$9:$D$108,L306)&lt;&gt;1)),1,0))</f>
        <v>0</v>
      </c>
      <c r="P306" s="7" t="str">
        <f t="shared" si="13"/>
        <v/>
      </c>
      <c r="Q306" s="7" t="str">
        <f t="shared" si="14"/>
        <v/>
      </c>
    </row>
    <row r="307" spans="1:17" ht="24" customHeight="1">
      <c r="A307" s="7"/>
      <c r="B307" s="7"/>
      <c r="C307" s="3"/>
      <c r="D307" s="2"/>
      <c r="E307" s="3"/>
      <c r="F307" s="3"/>
      <c r="G307" s="3"/>
      <c r="H307" s="3"/>
      <c r="I307" s="6"/>
      <c r="J307" s="3"/>
      <c r="K307" s="7"/>
      <c r="L307" s="13" t="str">
        <f>IF(C307="","",IF(COUNTIFS(Parametry!$C$54:$C$113,E307)=1,INDEX(Parametry!$D$54:$D$113,MATCH(E307,Parametry!$C$54:$C$113,0)),""))</f>
        <v/>
      </c>
      <c r="M307" s="7">
        <f t="shared" si="12"/>
        <v>0</v>
      </c>
      <c r="N307" s="13">
        <f>IF(AND(ISNUMBER(D307),ISNUMBER(Parametry!$G$6)),IF(AND(YEAR(D307)=Parametry!$G$6,M307&lt;=Parametry!$G$7),1,0),0)</f>
        <v>0</v>
      </c>
      <c r="O307" s="13">
        <f>IF(C307="",IF(COUNTA(D307:J307)&gt;0,1,0),IF(OR(COUNTIFS($C$9:$C$1008,C307)&lt;&gt;1,NOT(ISNUMBER(D307)),NOT(ISNUMBER(I307)),L307="",AND(F307&lt;&gt;"",COUNTIFS(Umowy!$C$9:$C$108,F307,Umowy!$D$9:$D$108,L307)&lt;&gt;1)),1,0))</f>
        <v>0</v>
      </c>
      <c r="P307" s="7" t="str">
        <f t="shared" si="13"/>
        <v/>
      </c>
      <c r="Q307" s="7" t="str">
        <f t="shared" si="14"/>
        <v/>
      </c>
    </row>
    <row r="308" spans="1:17" ht="24" customHeight="1">
      <c r="A308" s="7"/>
      <c r="B308" s="7"/>
      <c r="C308" s="3"/>
      <c r="D308" s="2"/>
      <c r="E308" s="3"/>
      <c r="F308" s="3"/>
      <c r="G308" s="3"/>
      <c r="H308" s="3"/>
      <c r="I308" s="6"/>
      <c r="J308" s="3"/>
      <c r="K308" s="7"/>
      <c r="L308" s="13" t="str">
        <f>IF(C308="","",IF(COUNTIFS(Parametry!$C$54:$C$113,E308)=1,INDEX(Parametry!$D$54:$D$113,MATCH(E308,Parametry!$C$54:$C$113,0)),""))</f>
        <v/>
      </c>
      <c r="M308" s="7">
        <f t="shared" si="12"/>
        <v>0</v>
      </c>
      <c r="N308" s="13">
        <f>IF(AND(ISNUMBER(D308),ISNUMBER(Parametry!$G$6)),IF(AND(YEAR(D308)=Parametry!$G$6,M308&lt;=Parametry!$G$7),1,0),0)</f>
        <v>0</v>
      </c>
      <c r="O308" s="13">
        <f>IF(C308="",IF(COUNTA(D308:J308)&gt;0,1,0),IF(OR(COUNTIFS($C$9:$C$1008,C308)&lt;&gt;1,NOT(ISNUMBER(D308)),NOT(ISNUMBER(I308)),L308="",AND(F308&lt;&gt;"",COUNTIFS(Umowy!$C$9:$C$108,F308,Umowy!$D$9:$D$108,L308)&lt;&gt;1)),1,0))</f>
        <v>0</v>
      </c>
      <c r="P308" s="7" t="str">
        <f t="shared" si="13"/>
        <v/>
      </c>
      <c r="Q308" s="7" t="str">
        <f t="shared" si="14"/>
        <v/>
      </c>
    </row>
    <row r="309" spans="1:17" ht="24" customHeight="1">
      <c r="A309" s="7"/>
      <c r="B309" s="7"/>
      <c r="C309" s="3"/>
      <c r="D309" s="2"/>
      <c r="E309" s="3"/>
      <c r="F309" s="3"/>
      <c r="G309" s="3"/>
      <c r="H309" s="3"/>
      <c r="I309" s="6"/>
      <c r="J309" s="3"/>
      <c r="K309" s="7"/>
      <c r="L309" s="13" t="str">
        <f>IF(C309="","",IF(COUNTIFS(Parametry!$C$54:$C$113,E309)=1,INDEX(Parametry!$D$54:$D$113,MATCH(E309,Parametry!$C$54:$C$113,0)),""))</f>
        <v/>
      </c>
      <c r="M309" s="7">
        <f t="shared" si="12"/>
        <v>0</v>
      </c>
      <c r="N309" s="13">
        <f>IF(AND(ISNUMBER(D309),ISNUMBER(Parametry!$G$6)),IF(AND(YEAR(D309)=Parametry!$G$6,M309&lt;=Parametry!$G$7),1,0),0)</f>
        <v>0</v>
      </c>
      <c r="O309" s="13">
        <f>IF(C309="",IF(COUNTA(D309:J309)&gt;0,1,0),IF(OR(COUNTIFS($C$9:$C$1008,C309)&lt;&gt;1,NOT(ISNUMBER(D309)),NOT(ISNUMBER(I309)),L309="",AND(F309&lt;&gt;"",COUNTIFS(Umowy!$C$9:$C$108,F309,Umowy!$D$9:$D$108,L309)&lt;&gt;1)),1,0))</f>
        <v>0</v>
      </c>
      <c r="P309" s="7" t="str">
        <f t="shared" si="13"/>
        <v/>
      </c>
      <c r="Q309" s="7" t="str">
        <f t="shared" si="14"/>
        <v/>
      </c>
    </row>
    <row r="310" spans="1:17" ht="24" customHeight="1">
      <c r="A310" s="7"/>
      <c r="B310" s="7"/>
      <c r="C310" s="3"/>
      <c r="D310" s="2"/>
      <c r="E310" s="3"/>
      <c r="F310" s="3"/>
      <c r="G310" s="3"/>
      <c r="H310" s="3"/>
      <c r="I310" s="6"/>
      <c r="J310" s="3"/>
      <c r="K310" s="7"/>
      <c r="L310" s="13" t="str">
        <f>IF(C310="","",IF(COUNTIFS(Parametry!$C$54:$C$113,E310)=1,INDEX(Parametry!$D$54:$D$113,MATCH(E310,Parametry!$C$54:$C$113,0)),""))</f>
        <v/>
      </c>
      <c r="M310" s="7">
        <f t="shared" si="12"/>
        <v>0</v>
      </c>
      <c r="N310" s="13">
        <f>IF(AND(ISNUMBER(D310),ISNUMBER(Parametry!$G$6)),IF(AND(YEAR(D310)=Parametry!$G$6,M310&lt;=Parametry!$G$7),1,0),0)</f>
        <v>0</v>
      </c>
      <c r="O310" s="13">
        <f>IF(C310="",IF(COUNTA(D310:J310)&gt;0,1,0),IF(OR(COUNTIFS($C$9:$C$1008,C310)&lt;&gt;1,NOT(ISNUMBER(D310)),NOT(ISNUMBER(I310)),L310="",AND(F310&lt;&gt;"",COUNTIFS(Umowy!$C$9:$C$108,F310,Umowy!$D$9:$D$108,L310)&lt;&gt;1)),1,0))</f>
        <v>0</v>
      </c>
      <c r="P310" s="7" t="str">
        <f t="shared" si="13"/>
        <v/>
      </c>
      <c r="Q310" s="7" t="str">
        <f t="shared" si="14"/>
        <v/>
      </c>
    </row>
    <row r="311" spans="1:17" ht="24" customHeight="1">
      <c r="A311" s="7"/>
      <c r="B311" s="7"/>
      <c r="C311" s="3"/>
      <c r="D311" s="2"/>
      <c r="E311" s="3"/>
      <c r="F311" s="3"/>
      <c r="G311" s="3"/>
      <c r="H311" s="3"/>
      <c r="I311" s="6"/>
      <c r="J311" s="3"/>
      <c r="K311" s="7"/>
      <c r="L311" s="13" t="str">
        <f>IF(C311="","",IF(COUNTIFS(Parametry!$C$54:$C$113,E311)=1,INDEX(Parametry!$D$54:$D$113,MATCH(E311,Parametry!$C$54:$C$113,0)),""))</f>
        <v/>
      </c>
      <c r="M311" s="7">
        <f t="shared" si="12"/>
        <v>0</v>
      </c>
      <c r="N311" s="13">
        <f>IF(AND(ISNUMBER(D311),ISNUMBER(Parametry!$G$6)),IF(AND(YEAR(D311)=Parametry!$G$6,M311&lt;=Parametry!$G$7),1,0),0)</f>
        <v>0</v>
      </c>
      <c r="O311" s="13">
        <f>IF(C311="",IF(COUNTA(D311:J311)&gt;0,1,0),IF(OR(COUNTIFS($C$9:$C$1008,C311)&lt;&gt;1,NOT(ISNUMBER(D311)),NOT(ISNUMBER(I311)),L311="",AND(F311&lt;&gt;"",COUNTIFS(Umowy!$C$9:$C$108,F311,Umowy!$D$9:$D$108,L311)&lt;&gt;1)),1,0))</f>
        <v>0</v>
      </c>
      <c r="P311" s="7" t="str">
        <f t="shared" si="13"/>
        <v/>
      </c>
      <c r="Q311" s="7" t="str">
        <f t="shared" si="14"/>
        <v/>
      </c>
    </row>
    <row r="312" spans="1:17" ht="24" customHeight="1">
      <c r="A312" s="7"/>
      <c r="B312" s="7"/>
      <c r="C312" s="3"/>
      <c r="D312" s="2"/>
      <c r="E312" s="3"/>
      <c r="F312" s="3"/>
      <c r="G312" s="3"/>
      <c r="H312" s="3"/>
      <c r="I312" s="6"/>
      <c r="J312" s="3"/>
      <c r="K312" s="7"/>
      <c r="L312" s="13" t="str">
        <f>IF(C312="","",IF(COUNTIFS(Parametry!$C$54:$C$113,E312)=1,INDEX(Parametry!$D$54:$D$113,MATCH(E312,Parametry!$C$54:$C$113,0)),""))</f>
        <v/>
      </c>
      <c r="M312" s="7">
        <f t="shared" si="12"/>
        <v>0</v>
      </c>
      <c r="N312" s="13">
        <f>IF(AND(ISNUMBER(D312),ISNUMBER(Parametry!$G$6)),IF(AND(YEAR(D312)=Parametry!$G$6,M312&lt;=Parametry!$G$7),1,0),0)</f>
        <v>0</v>
      </c>
      <c r="O312" s="13">
        <f>IF(C312="",IF(COUNTA(D312:J312)&gt;0,1,0),IF(OR(COUNTIFS($C$9:$C$1008,C312)&lt;&gt;1,NOT(ISNUMBER(D312)),NOT(ISNUMBER(I312)),L312="",AND(F312&lt;&gt;"",COUNTIFS(Umowy!$C$9:$C$108,F312,Umowy!$D$9:$D$108,L312)&lt;&gt;1)),1,0))</f>
        <v>0</v>
      </c>
      <c r="P312" s="7" t="str">
        <f t="shared" si="13"/>
        <v/>
      </c>
      <c r="Q312" s="7" t="str">
        <f t="shared" si="14"/>
        <v/>
      </c>
    </row>
    <row r="313" spans="1:17" ht="24" customHeight="1">
      <c r="A313" s="7"/>
      <c r="B313" s="7"/>
      <c r="C313" s="3"/>
      <c r="D313" s="2"/>
      <c r="E313" s="3"/>
      <c r="F313" s="3"/>
      <c r="G313" s="3"/>
      <c r="H313" s="3"/>
      <c r="I313" s="6"/>
      <c r="J313" s="3"/>
      <c r="K313" s="7"/>
      <c r="L313" s="13" t="str">
        <f>IF(C313="","",IF(COUNTIFS(Parametry!$C$54:$C$113,E313)=1,INDEX(Parametry!$D$54:$D$113,MATCH(E313,Parametry!$C$54:$C$113,0)),""))</f>
        <v/>
      </c>
      <c r="M313" s="7">
        <f t="shared" si="12"/>
        <v>0</v>
      </c>
      <c r="N313" s="13">
        <f>IF(AND(ISNUMBER(D313),ISNUMBER(Parametry!$G$6)),IF(AND(YEAR(D313)=Parametry!$G$6,M313&lt;=Parametry!$G$7),1,0),0)</f>
        <v>0</v>
      </c>
      <c r="O313" s="13">
        <f>IF(C313="",IF(COUNTA(D313:J313)&gt;0,1,0),IF(OR(COUNTIFS($C$9:$C$1008,C313)&lt;&gt;1,NOT(ISNUMBER(D313)),NOT(ISNUMBER(I313)),L313="",AND(F313&lt;&gt;"",COUNTIFS(Umowy!$C$9:$C$108,F313,Umowy!$D$9:$D$108,L313)&lt;&gt;1)),1,0))</f>
        <v>0</v>
      </c>
      <c r="P313" s="7" t="str">
        <f t="shared" si="13"/>
        <v/>
      </c>
      <c r="Q313" s="7" t="str">
        <f t="shared" si="14"/>
        <v/>
      </c>
    </row>
    <row r="314" spans="1:17" ht="24" customHeight="1">
      <c r="A314" s="7"/>
      <c r="B314" s="7"/>
      <c r="C314" s="3"/>
      <c r="D314" s="2"/>
      <c r="E314" s="3"/>
      <c r="F314" s="3"/>
      <c r="G314" s="3"/>
      <c r="H314" s="3"/>
      <c r="I314" s="6"/>
      <c r="J314" s="3"/>
      <c r="K314" s="7"/>
      <c r="L314" s="13" t="str">
        <f>IF(C314="","",IF(COUNTIFS(Parametry!$C$54:$C$113,E314)=1,INDEX(Parametry!$D$54:$D$113,MATCH(E314,Parametry!$C$54:$C$113,0)),""))</f>
        <v/>
      </c>
      <c r="M314" s="7">
        <f t="shared" si="12"/>
        <v>0</v>
      </c>
      <c r="N314" s="13">
        <f>IF(AND(ISNUMBER(D314),ISNUMBER(Parametry!$G$6)),IF(AND(YEAR(D314)=Parametry!$G$6,M314&lt;=Parametry!$G$7),1,0),0)</f>
        <v>0</v>
      </c>
      <c r="O314" s="13">
        <f>IF(C314="",IF(COUNTA(D314:J314)&gt;0,1,0),IF(OR(COUNTIFS($C$9:$C$1008,C314)&lt;&gt;1,NOT(ISNUMBER(D314)),NOT(ISNUMBER(I314)),L314="",AND(F314&lt;&gt;"",COUNTIFS(Umowy!$C$9:$C$108,F314,Umowy!$D$9:$D$108,L314)&lt;&gt;1)),1,0))</f>
        <v>0</v>
      </c>
      <c r="P314" s="7" t="str">
        <f t="shared" si="13"/>
        <v/>
      </c>
      <c r="Q314" s="7" t="str">
        <f t="shared" si="14"/>
        <v/>
      </c>
    </row>
    <row r="315" spans="1:17" ht="24" customHeight="1">
      <c r="A315" s="7"/>
      <c r="B315" s="7"/>
      <c r="C315" s="3"/>
      <c r="D315" s="2"/>
      <c r="E315" s="3"/>
      <c r="F315" s="3"/>
      <c r="G315" s="3"/>
      <c r="H315" s="3"/>
      <c r="I315" s="6"/>
      <c r="J315" s="3"/>
      <c r="K315" s="7"/>
      <c r="L315" s="13" t="str">
        <f>IF(C315="","",IF(COUNTIFS(Parametry!$C$54:$C$113,E315)=1,INDEX(Parametry!$D$54:$D$113,MATCH(E315,Parametry!$C$54:$C$113,0)),""))</f>
        <v/>
      </c>
      <c r="M315" s="7">
        <f t="shared" si="12"/>
        <v>0</v>
      </c>
      <c r="N315" s="13">
        <f>IF(AND(ISNUMBER(D315),ISNUMBER(Parametry!$G$6)),IF(AND(YEAR(D315)=Parametry!$G$6,M315&lt;=Parametry!$G$7),1,0),0)</f>
        <v>0</v>
      </c>
      <c r="O315" s="13">
        <f>IF(C315="",IF(COUNTA(D315:J315)&gt;0,1,0),IF(OR(COUNTIFS($C$9:$C$1008,C315)&lt;&gt;1,NOT(ISNUMBER(D315)),NOT(ISNUMBER(I315)),L315="",AND(F315&lt;&gt;"",COUNTIFS(Umowy!$C$9:$C$108,F315,Umowy!$D$9:$D$108,L315)&lt;&gt;1)),1,0))</f>
        <v>0</v>
      </c>
      <c r="P315" s="7" t="str">
        <f t="shared" si="13"/>
        <v/>
      </c>
      <c r="Q315" s="7" t="str">
        <f t="shared" si="14"/>
        <v/>
      </c>
    </row>
    <row r="316" spans="1:17" ht="24" customHeight="1">
      <c r="A316" s="7"/>
      <c r="B316" s="7"/>
      <c r="C316" s="3"/>
      <c r="D316" s="2"/>
      <c r="E316" s="3"/>
      <c r="F316" s="3"/>
      <c r="G316" s="3"/>
      <c r="H316" s="3"/>
      <c r="I316" s="6"/>
      <c r="J316" s="3"/>
      <c r="K316" s="7"/>
      <c r="L316" s="13" t="str">
        <f>IF(C316="","",IF(COUNTIFS(Parametry!$C$54:$C$113,E316)=1,INDEX(Parametry!$D$54:$D$113,MATCH(E316,Parametry!$C$54:$C$113,0)),""))</f>
        <v/>
      </c>
      <c r="M316" s="7">
        <f t="shared" si="12"/>
        <v>0</v>
      </c>
      <c r="N316" s="13">
        <f>IF(AND(ISNUMBER(D316),ISNUMBER(Parametry!$G$6)),IF(AND(YEAR(D316)=Parametry!$G$6,M316&lt;=Parametry!$G$7),1,0),0)</f>
        <v>0</v>
      </c>
      <c r="O316" s="13">
        <f>IF(C316="",IF(COUNTA(D316:J316)&gt;0,1,0),IF(OR(COUNTIFS($C$9:$C$1008,C316)&lt;&gt;1,NOT(ISNUMBER(D316)),NOT(ISNUMBER(I316)),L316="",AND(F316&lt;&gt;"",COUNTIFS(Umowy!$C$9:$C$108,F316,Umowy!$D$9:$D$108,L316)&lt;&gt;1)),1,0))</f>
        <v>0</v>
      </c>
      <c r="P316" s="7" t="str">
        <f t="shared" si="13"/>
        <v/>
      </c>
      <c r="Q316" s="7" t="str">
        <f t="shared" si="14"/>
        <v/>
      </c>
    </row>
    <row r="317" spans="1:17" ht="24" customHeight="1">
      <c r="A317" s="7"/>
      <c r="B317" s="7"/>
      <c r="C317" s="3"/>
      <c r="D317" s="2"/>
      <c r="E317" s="3"/>
      <c r="F317" s="3"/>
      <c r="G317" s="3"/>
      <c r="H317" s="3"/>
      <c r="I317" s="6"/>
      <c r="J317" s="3"/>
      <c r="K317" s="7"/>
      <c r="L317" s="13" t="str">
        <f>IF(C317="","",IF(COUNTIFS(Parametry!$C$54:$C$113,E317)=1,INDEX(Parametry!$D$54:$D$113,MATCH(E317,Parametry!$C$54:$C$113,0)),""))</f>
        <v/>
      </c>
      <c r="M317" s="7">
        <f t="shared" si="12"/>
        <v>0</v>
      </c>
      <c r="N317" s="13">
        <f>IF(AND(ISNUMBER(D317),ISNUMBER(Parametry!$G$6)),IF(AND(YEAR(D317)=Parametry!$G$6,M317&lt;=Parametry!$G$7),1,0),0)</f>
        <v>0</v>
      </c>
      <c r="O317" s="13">
        <f>IF(C317="",IF(COUNTA(D317:J317)&gt;0,1,0),IF(OR(COUNTIFS($C$9:$C$1008,C317)&lt;&gt;1,NOT(ISNUMBER(D317)),NOT(ISNUMBER(I317)),L317="",AND(F317&lt;&gt;"",COUNTIFS(Umowy!$C$9:$C$108,F317,Umowy!$D$9:$D$108,L317)&lt;&gt;1)),1,0))</f>
        <v>0</v>
      </c>
      <c r="P317" s="7" t="str">
        <f t="shared" si="13"/>
        <v/>
      </c>
      <c r="Q317" s="7" t="str">
        <f t="shared" si="14"/>
        <v/>
      </c>
    </row>
    <row r="318" spans="1:17" ht="24" customHeight="1">
      <c r="A318" s="7"/>
      <c r="B318" s="7"/>
      <c r="C318" s="3"/>
      <c r="D318" s="2"/>
      <c r="E318" s="3"/>
      <c r="F318" s="3"/>
      <c r="G318" s="3"/>
      <c r="H318" s="3"/>
      <c r="I318" s="6"/>
      <c r="J318" s="3"/>
      <c r="K318" s="7"/>
      <c r="L318" s="13" t="str">
        <f>IF(C318="","",IF(COUNTIFS(Parametry!$C$54:$C$113,E318)=1,INDEX(Parametry!$D$54:$D$113,MATCH(E318,Parametry!$C$54:$C$113,0)),""))</f>
        <v/>
      </c>
      <c r="M318" s="7">
        <f t="shared" si="12"/>
        <v>0</v>
      </c>
      <c r="N318" s="13">
        <f>IF(AND(ISNUMBER(D318),ISNUMBER(Parametry!$G$6)),IF(AND(YEAR(D318)=Parametry!$G$6,M318&lt;=Parametry!$G$7),1,0),0)</f>
        <v>0</v>
      </c>
      <c r="O318" s="13">
        <f>IF(C318="",IF(COUNTA(D318:J318)&gt;0,1,0),IF(OR(COUNTIFS($C$9:$C$1008,C318)&lt;&gt;1,NOT(ISNUMBER(D318)),NOT(ISNUMBER(I318)),L318="",AND(F318&lt;&gt;"",COUNTIFS(Umowy!$C$9:$C$108,F318,Umowy!$D$9:$D$108,L318)&lt;&gt;1)),1,0))</f>
        <v>0</v>
      </c>
      <c r="P318" s="7" t="str">
        <f t="shared" si="13"/>
        <v/>
      </c>
      <c r="Q318" s="7" t="str">
        <f t="shared" si="14"/>
        <v/>
      </c>
    </row>
    <row r="319" spans="1:17" ht="24" customHeight="1">
      <c r="A319" s="7"/>
      <c r="B319" s="7"/>
      <c r="C319" s="3"/>
      <c r="D319" s="2"/>
      <c r="E319" s="3"/>
      <c r="F319" s="3"/>
      <c r="G319" s="3"/>
      <c r="H319" s="3"/>
      <c r="I319" s="6"/>
      <c r="J319" s="3"/>
      <c r="K319" s="7"/>
      <c r="L319" s="13" t="str">
        <f>IF(C319="","",IF(COUNTIFS(Parametry!$C$54:$C$113,E319)=1,INDEX(Parametry!$D$54:$D$113,MATCH(E319,Parametry!$C$54:$C$113,0)),""))</f>
        <v/>
      </c>
      <c r="M319" s="7">
        <f t="shared" si="12"/>
        <v>0</v>
      </c>
      <c r="N319" s="13">
        <f>IF(AND(ISNUMBER(D319),ISNUMBER(Parametry!$G$6)),IF(AND(YEAR(D319)=Parametry!$G$6,M319&lt;=Parametry!$G$7),1,0),0)</f>
        <v>0</v>
      </c>
      <c r="O319" s="13">
        <f>IF(C319="",IF(COUNTA(D319:J319)&gt;0,1,0),IF(OR(COUNTIFS($C$9:$C$1008,C319)&lt;&gt;1,NOT(ISNUMBER(D319)),NOT(ISNUMBER(I319)),L319="",AND(F319&lt;&gt;"",COUNTIFS(Umowy!$C$9:$C$108,F319,Umowy!$D$9:$D$108,L319)&lt;&gt;1)),1,0))</f>
        <v>0</v>
      </c>
      <c r="P319" s="7" t="str">
        <f t="shared" si="13"/>
        <v/>
      </c>
      <c r="Q319" s="7" t="str">
        <f t="shared" si="14"/>
        <v/>
      </c>
    </row>
    <row r="320" spans="1:17" ht="24" customHeight="1">
      <c r="A320" s="7"/>
      <c r="B320" s="7"/>
      <c r="C320" s="3"/>
      <c r="D320" s="2"/>
      <c r="E320" s="3"/>
      <c r="F320" s="3"/>
      <c r="G320" s="3"/>
      <c r="H320" s="3"/>
      <c r="I320" s="6"/>
      <c r="J320" s="3"/>
      <c r="K320" s="7"/>
      <c r="L320" s="13" t="str">
        <f>IF(C320="","",IF(COUNTIFS(Parametry!$C$54:$C$113,E320)=1,INDEX(Parametry!$D$54:$D$113,MATCH(E320,Parametry!$C$54:$C$113,0)),""))</f>
        <v/>
      </c>
      <c r="M320" s="7">
        <f t="shared" si="12"/>
        <v>0</v>
      </c>
      <c r="N320" s="13">
        <f>IF(AND(ISNUMBER(D320),ISNUMBER(Parametry!$G$6)),IF(AND(YEAR(D320)=Parametry!$G$6,M320&lt;=Parametry!$G$7),1,0),0)</f>
        <v>0</v>
      </c>
      <c r="O320" s="13">
        <f>IF(C320="",IF(COUNTA(D320:J320)&gt;0,1,0),IF(OR(COUNTIFS($C$9:$C$1008,C320)&lt;&gt;1,NOT(ISNUMBER(D320)),NOT(ISNUMBER(I320)),L320="",AND(F320&lt;&gt;"",COUNTIFS(Umowy!$C$9:$C$108,F320,Umowy!$D$9:$D$108,L320)&lt;&gt;1)),1,0))</f>
        <v>0</v>
      </c>
      <c r="P320" s="7" t="str">
        <f t="shared" si="13"/>
        <v/>
      </c>
      <c r="Q320" s="7" t="str">
        <f t="shared" si="14"/>
        <v/>
      </c>
    </row>
    <row r="321" spans="1:17" ht="24" customHeight="1">
      <c r="A321" s="7"/>
      <c r="B321" s="7"/>
      <c r="C321" s="3"/>
      <c r="D321" s="2"/>
      <c r="E321" s="3"/>
      <c r="F321" s="3"/>
      <c r="G321" s="3"/>
      <c r="H321" s="3"/>
      <c r="I321" s="6"/>
      <c r="J321" s="3"/>
      <c r="K321" s="7"/>
      <c r="L321" s="13" t="str">
        <f>IF(C321="","",IF(COUNTIFS(Parametry!$C$54:$C$113,E321)=1,INDEX(Parametry!$D$54:$D$113,MATCH(E321,Parametry!$C$54:$C$113,0)),""))</f>
        <v/>
      </c>
      <c r="M321" s="7">
        <f t="shared" si="12"/>
        <v>0</v>
      </c>
      <c r="N321" s="13">
        <f>IF(AND(ISNUMBER(D321),ISNUMBER(Parametry!$G$6)),IF(AND(YEAR(D321)=Parametry!$G$6,M321&lt;=Parametry!$G$7),1,0),0)</f>
        <v>0</v>
      </c>
      <c r="O321" s="13">
        <f>IF(C321="",IF(COUNTA(D321:J321)&gt;0,1,0),IF(OR(COUNTIFS($C$9:$C$1008,C321)&lt;&gt;1,NOT(ISNUMBER(D321)),NOT(ISNUMBER(I321)),L321="",AND(F321&lt;&gt;"",COUNTIFS(Umowy!$C$9:$C$108,F321,Umowy!$D$9:$D$108,L321)&lt;&gt;1)),1,0))</f>
        <v>0</v>
      </c>
      <c r="P321" s="7" t="str">
        <f t="shared" si="13"/>
        <v/>
      </c>
      <c r="Q321" s="7" t="str">
        <f t="shared" si="14"/>
        <v/>
      </c>
    </row>
    <row r="322" spans="1:17" ht="24" customHeight="1">
      <c r="A322" s="7"/>
      <c r="B322" s="7"/>
      <c r="C322" s="3"/>
      <c r="D322" s="2"/>
      <c r="E322" s="3"/>
      <c r="F322" s="3"/>
      <c r="G322" s="3"/>
      <c r="H322" s="3"/>
      <c r="I322" s="6"/>
      <c r="J322" s="3"/>
      <c r="K322" s="7"/>
      <c r="L322" s="13" t="str">
        <f>IF(C322="","",IF(COUNTIFS(Parametry!$C$54:$C$113,E322)=1,INDEX(Parametry!$D$54:$D$113,MATCH(E322,Parametry!$C$54:$C$113,0)),""))</f>
        <v/>
      </c>
      <c r="M322" s="7">
        <f t="shared" si="12"/>
        <v>0</v>
      </c>
      <c r="N322" s="13">
        <f>IF(AND(ISNUMBER(D322),ISNUMBER(Parametry!$G$6)),IF(AND(YEAR(D322)=Parametry!$G$6,M322&lt;=Parametry!$G$7),1,0),0)</f>
        <v>0</v>
      </c>
      <c r="O322" s="13">
        <f>IF(C322="",IF(COUNTA(D322:J322)&gt;0,1,0),IF(OR(COUNTIFS($C$9:$C$1008,C322)&lt;&gt;1,NOT(ISNUMBER(D322)),NOT(ISNUMBER(I322)),L322="",AND(F322&lt;&gt;"",COUNTIFS(Umowy!$C$9:$C$108,F322,Umowy!$D$9:$D$108,L322)&lt;&gt;1)),1,0))</f>
        <v>0</v>
      </c>
      <c r="P322" s="7" t="str">
        <f t="shared" si="13"/>
        <v/>
      </c>
      <c r="Q322" s="7" t="str">
        <f t="shared" si="14"/>
        <v/>
      </c>
    </row>
    <row r="323" spans="1:17" ht="24" customHeight="1">
      <c r="A323" s="7"/>
      <c r="B323" s="7"/>
      <c r="C323" s="3"/>
      <c r="D323" s="2"/>
      <c r="E323" s="3"/>
      <c r="F323" s="3"/>
      <c r="G323" s="3"/>
      <c r="H323" s="3"/>
      <c r="I323" s="6"/>
      <c r="J323" s="3"/>
      <c r="K323" s="7"/>
      <c r="L323" s="13" t="str">
        <f>IF(C323="","",IF(COUNTIFS(Parametry!$C$54:$C$113,E323)=1,INDEX(Parametry!$D$54:$D$113,MATCH(E323,Parametry!$C$54:$C$113,0)),""))</f>
        <v/>
      </c>
      <c r="M323" s="7">
        <f t="shared" si="12"/>
        <v>0</v>
      </c>
      <c r="N323" s="13">
        <f>IF(AND(ISNUMBER(D323),ISNUMBER(Parametry!$G$6)),IF(AND(YEAR(D323)=Parametry!$G$6,M323&lt;=Parametry!$G$7),1,0),0)</f>
        <v>0</v>
      </c>
      <c r="O323" s="13">
        <f>IF(C323="",IF(COUNTA(D323:J323)&gt;0,1,0),IF(OR(COUNTIFS($C$9:$C$1008,C323)&lt;&gt;1,NOT(ISNUMBER(D323)),NOT(ISNUMBER(I323)),L323="",AND(F323&lt;&gt;"",COUNTIFS(Umowy!$C$9:$C$108,F323,Umowy!$D$9:$D$108,L323)&lt;&gt;1)),1,0))</f>
        <v>0</v>
      </c>
      <c r="P323" s="7" t="str">
        <f t="shared" si="13"/>
        <v/>
      </c>
      <c r="Q323" s="7" t="str">
        <f t="shared" si="14"/>
        <v/>
      </c>
    </row>
    <row r="324" spans="1:17" ht="24" customHeight="1">
      <c r="A324" s="7"/>
      <c r="B324" s="7"/>
      <c r="C324" s="3"/>
      <c r="D324" s="2"/>
      <c r="E324" s="3"/>
      <c r="F324" s="3"/>
      <c r="G324" s="3"/>
      <c r="H324" s="3"/>
      <c r="I324" s="6"/>
      <c r="J324" s="3"/>
      <c r="K324" s="7"/>
      <c r="L324" s="13" t="str">
        <f>IF(C324="","",IF(COUNTIFS(Parametry!$C$54:$C$113,E324)=1,INDEX(Parametry!$D$54:$D$113,MATCH(E324,Parametry!$C$54:$C$113,0)),""))</f>
        <v/>
      </c>
      <c r="M324" s="7">
        <f t="shared" si="12"/>
        <v>0</v>
      </c>
      <c r="N324" s="13">
        <f>IF(AND(ISNUMBER(D324),ISNUMBER(Parametry!$G$6)),IF(AND(YEAR(D324)=Parametry!$G$6,M324&lt;=Parametry!$G$7),1,0),0)</f>
        <v>0</v>
      </c>
      <c r="O324" s="13">
        <f>IF(C324="",IF(COUNTA(D324:J324)&gt;0,1,0),IF(OR(COUNTIFS($C$9:$C$1008,C324)&lt;&gt;1,NOT(ISNUMBER(D324)),NOT(ISNUMBER(I324)),L324="",AND(F324&lt;&gt;"",COUNTIFS(Umowy!$C$9:$C$108,F324,Umowy!$D$9:$D$108,L324)&lt;&gt;1)),1,0))</f>
        <v>0</v>
      </c>
      <c r="P324" s="7" t="str">
        <f t="shared" si="13"/>
        <v/>
      </c>
      <c r="Q324" s="7" t="str">
        <f t="shared" si="14"/>
        <v/>
      </c>
    </row>
    <row r="325" spans="1:17" ht="24" customHeight="1">
      <c r="A325" s="7"/>
      <c r="B325" s="7"/>
      <c r="C325" s="3"/>
      <c r="D325" s="2"/>
      <c r="E325" s="3"/>
      <c r="F325" s="3"/>
      <c r="G325" s="3"/>
      <c r="H325" s="3"/>
      <c r="I325" s="6"/>
      <c r="J325" s="3"/>
      <c r="K325" s="7"/>
      <c r="L325" s="13" t="str">
        <f>IF(C325="","",IF(COUNTIFS(Parametry!$C$54:$C$113,E325)=1,INDEX(Parametry!$D$54:$D$113,MATCH(E325,Parametry!$C$54:$C$113,0)),""))</f>
        <v/>
      </c>
      <c r="M325" s="7">
        <f t="shared" si="12"/>
        <v>0</v>
      </c>
      <c r="N325" s="13">
        <f>IF(AND(ISNUMBER(D325),ISNUMBER(Parametry!$G$6)),IF(AND(YEAR(D325)=Parametry!$G$6,M325&lt;=Parametry!$G$7),1,0),0)</f>
        <v>0</v>
      </c>
      <c r="O325" s="13">
        <f>IF(C325="",IF(COUNTA(D325:J325)&gt;0,1,0),IF(OR(COUNTIFS($C$9:$C$1008,C325)&lt;&gt;1,NOT(ISNUMBER(D325)),NOT(ISNUMBER(I325)),L325="",AND(F325&lt;&gt;"",COUNTIFS(Umowy!$C$9:$C$108,F325,Umowy!$D$9:$D$108,L325)&lt;&gt;1)),1,0))</f>
        <v>0</v>
      </c>
      <c r="P325" s="7" t="str">
        <f t="shared" si="13"/>
        <v/>
      </c>
      <c r="Q325" s="7" t="str">
        <f t="shared" si="14"/>
        <v/>
      </c>
    </row>
    <row r="326" spans="1:17" ht="24" customHeight="1">
      <c r="A326" s="7"/>
      <c r="B326" s="7"/>
      <c r="C326" s="3"/>
      <c r="D326" s="2"/>
      <c r="E326" s="3"/>
      <c r="F326" s="3"/>
      <c r="G326" s="3"/>
      <c r="H326" s="3"/>
      <c r="I326" s="6"/>
      <c r="J326" s="3"/>
      <c r="K326" s="7"/>
      <c r="L326" s="13" t="str">
        <f>IF(C326="","",IF(COUNTIFS(Parametry!$C$54:$C$113,E326)=1,INDEX(Parametry!$D$54:$D$113,MATCH(E326,Parametry!$C$54:$C$113,0)),""))</f>
        <v/>
      </c>
      <c r="M326" s="7">
        <f t="shared" si="12"/>
        <v>0</v>
      </c>
      <c r="N326" s="13">
        <f>IF(AND(ISNUMBER(D326),ISNUMBER(Parametry!$G$6)),IF(AND(YEAR(D326)=Parametry!$G$6,M326&lt;=Parametry!$G$7),1,0),0)</f>
        <v>0</v>
      </c>
      <c r="O326" s="13">
        <f>IF(C326="",IF(COUNTA(D326:J326)&gt;0,1,0),IF(OR(COUNTIFS($C$9:$C$1008,C326)&lt;&gt;1,NOT(ISNUMBER(D326)),NOT(ISNUMBER(I326)),L326="",AND(F326&lt;&gt;"",COUNTIFS(Umowy!$C$9:$C$108,F326,Umowy!$D$9:$D$108,L326)&lt;&gt;1)),1,0))</f>
        <v>0</v>
      </c>
      <c r="P326" s="7" t="str">
        <f t="shared" si="13"/>
        <v/>
      </c>
      <c r="Q326" s="7" t="str">
        <f t="shared" si="14"/>
        <v/>
      </c>
    </row>
    <row r="327" spans="1:17" ht="24" customHeight="1">
      <c r="A327" s="7"/>
      <c r="B327" s="7"/>
      <c r="C327" s="3"/>
      <c r="D327" s="2"/>
      <c r="E327" s="3"/>
      <c r="F327" s="3"/>
      <c r="G327" s="3"/>
      <c r="H327" s="3"/>
      <c r="I327" s="6"/>
      <c r="J327" s="3"/>
      <c r="K327" s="7"/>
      <c r="L327" s="13" t="str">
        <f>IF(C327="","",IF(COUNTIFS(Parametry!$C$54:$C$113,E327)=1,INDEX(Parametry!$D$54:$D$113,MATCH(E327,Parametry!$C$54:$C$113,0)),""))</f>
        <v/>
      </c>
      <c r="M327" s="7">
        <f t="shared" si="12"/>
        <v>0</v>
      </c>
      <c r="N327" s="13">
        <f>IF(AND(ISNUMBER(D327),ISNUMBER(Parametry!$G$6)),IF(AND(YEAR(D327)=Parametry!$G$6,M327&lt;=Parametry!$G$7),1,0),0)</f>
        <v>0</v>
      </c>
      <c r="O327" s="13">
        <f>IF(C327="",IF(COUNTA(D327:J327)&gt;0,1,0),IF(OR(COUNTIFS($C$9:$C$1008,C327)&lt;&gt;1,NOT(ISNUMBER(D327)),NOT(ISNUMBER(I327)),L327="",AND(F327&lt;&gt;"",COUNTIFS(Umowy!$C$9:$C$108,F327,Umowy!$D$9:$D$108,L327)&lt;&gt;1)),1,0))</f>
        <v>0</v>
      </c>
      <c r="P327" s="7" t="str">
        <f t="shared" si="13"/>
        <v/>
      </c>
      <c r="Q327" s="7" t="str">
        <f t="shared" si="14"/>
        <v/>
      </c>
    </row>
    <row r="328" spans="1:17" ht="24" customHeight="1">
      <c r="A328" s="7"/>
      <c r="B328" s="7"/>
      <c r="C328" s="3"/>
      <c r="D328" s="2"/>
      <c r="E328" s="3"/>
      <c r="F328" s="3"/>
      <c r="G328" s="3"/>
      <c r="H328" s="3"/>
      <c r="I328" s="6"/>
      <c r="J328" s="3"/>
      <c r="K328" s="7"/>
      <c r="L328" s="13" t="str">
        <f>IF(C328="","",IF(COUNTIFS(Parametry!$C$54:$C$113,E328)=1,INDEX(Parametry!$D$54:$D$113,MATCH(E328,Parametry!$C$54:$C$113,0)),""))</f>
        <v/>
      </c>
      <c r="M328" s="7">
        <f t="shared" si="12"/>
        <v>0</v>
      </c>
      <c r="N328" s="13">
        <f>IF(AND(ISNUMBER(D328),ISNUMBER(Parametry!$G$6)),IF(AND(YEAR(D328)=Parametry!$G$6,M328&lt;=Parametry!$G$7),1,0),0)</f>
        <v>0</v>
      </c>
      <c r="O328" s="13">
        <f>IF(C328="",IF(COUNTA(D328:J328)&gt;0,1,0),IF(OR(COUNTIFS($C$9:$C$1008,C328)&lt;&gt;1,NOT(ISNUMBER(D328)),NOT(ISNUMBER(I328)),L328="",AND(F328&lt;&gt;"",COUNTIFS(Umowy!$C$9:$C$108,F328,Umowy!$D$9:$D$108,L328)&lt;&gt;1)),1,0))</f>
        <v>0</v>
      </c>
      <c r="P328" s="7" t="str">
        <f t="shared" si="13"/>
        <v/>
      </c>
      <c r="Q328" s="7" t="str">
        <f t="shared" si="14"/>
        <v/>
      </c>
    </row>
    <row r="329" spans="1:17" ht="24" customHeight="1">
      <c r="A329" s="7"/>
      <c r="B329" s="7"/>
      <c r="C329" s="3"/>
      <c r="D329" s="2"/>
      <c r="E329" s="3"/>
      <c r="F329" s="3"/>
      <c r="G329" s="3"/>
      <c r="H329" s="3"/>
      <c r="I329" s="6"/>
      <c r="J329" s="3"/>
      <c r="K329" s="7"/>
      <c r="L329" s="13" t="str">
        <f>IF(C329="","",IF(COUNTIFS(Parametry!$C$54:$C$113,E329)=1,INDEX(Parametry!$D$54:$D$113,MATCH(E329,Parametry!$C$54:$C$113,0)),""))</f>
        <v/>
      </c>
      <c r="M329" s="7">
        <f t="shared" ref="M329:M392" si="15">IF(ISNUMBER(D329),MONTH(D329),0)</f>
        <v>0</v>
      </c>
      <c r="N329" s="13">
        <f>IF(AND(ISNUMBER(D329),ISNUMBER(Parametry!$G$6)),IF(AND(YEAR(D329)=Parametry!$G$6,M329&lt;=Parametry!$G$7),1,0),0)</f>
        <v>0</v>
      </c>
      <c r="O329" s="13">
        <f>IF(C329="",IF(COUNTA(D329:J329)&gt;0,1,0),IF(OR(COUNTIFS($C$9:$C$1008,C329)&lt;&gt;1,NOT(ISNUMBER(D329)),NOT(ISNUMBER(I329)),L329="",AND(F329&lt;&gt;"",COUNTIFS(Umowy!$C$9:$C$108,F329,Umowy!$D$9:$D$108,L329)&lt;&gt;1)),1,0))</f>
        <v>0</v>
      </c>
      <c r="P329" s="7" t="str">
        <f t="shared" ref="P329:P392" si="16">IF(O329=0,"",IF(C329="","Missing RowID",IF(COUNTIFS($C$9:$C$1008,C329)&lt;&gt;1,"Duplicate RowID",IF(L329="","Unmapped ERPKey",IF(NOT(ISNUMBER(D329)),"Invalid Date",IF(NOT(ISNUMBER(I329)),"Invalid AmountPLN","CommitmentID / BudgetID"))))))</f>
        <v/>
      </c>
      <c r="Q329" s="7" t="str">
        <f t="shared" ref="Q329:Q392" si="17">IF(C329="","",IF(N329=1,"","Nie ujęto w wykonaniu okresu"))</f>
        <v/>
      </c>
    </row>
    <row r="330" spans="1:17" ht="24" customHeight="1">
      <c r="A330" s="7"/>
      <c r="B330" s="7"/>
      <c r="C330" s="3"/>
      <c r="D330" s="2"/>
      <c r="E330" s="3"/>
      <c r="F330" s="3"/>
      <c r="G330" s="3"/>
      <c r="H330" s="3"/>
      <c r="I330" s="6"/>
      <c r="J330" s="3"/>
      <c r="K330" s="7"/>
      <c r="L330" s="13" t="str">
        <f>IF(C330="","",IF(COUNTIFS(Parametry!$C$54:$C$113,E330)=1,INDEX(Parametry!$D$54:$D$113,MATCH(E330,Parametry!$C$54:$C$113,0)),""))</f>
        <v/>
      </c>
      <c r="M330" s="7">
        <f t="shared" si="15"/>
        <v>0</v>
      </c>
      <c r="N330" s="13">
        <f>IF(AND(ISNUMBER(D330),ISNUMBER(Parametry!$G$6)),IF(AND(YEAR(D330)=Parametry!$G$6,M330&lt;=Parametry!$G$7),1,0),0)</f>
        <v>0</v>
      </c>
      <c r="O330" s="13">
        <f>IF(C330="",IF(COUNTA(D330:J330)&gt;0,1,0),IF(OR(COUNTIFS($C$9:$C$1008,C330)&lt;&gt;1,NOT(ISNUMBER(D330)),NOT(ISNUMBER(I330)),L330="",AND(F330&lt;&gt;"",COUNTIFS(Umowy!$C$9:$C$108,F330,Umowy!$D$9:$D$108,L330)&lt;&gt;1)),1,0))</f>
        <v>0</v>
      </c>
      <c r="P330" s="7" t="str">
        <f t="shared" si="16"/>
        <v/>
      </c>
      <c r="Q330" s="7" t="str">
        <f t="shared" si="17"/>
        <v/>
      </c>
    </row>
    <row r="331" spans="1:17" ht="24" customHeight="1">
      <c r="A331" s="7"/>
      <c r="B331" s="7"/>
      <c r="C331" s="3"/>
      <c r="D331" s="2"/>
      <c r="E331" s="3"/>
      <c r="F331" s="3"/>
      <c r="G331" s="3"/>
      <c r="H331" s="3"/>
      <c r="I331" s="6"/>
      <c r="J331" s="3"/>
      <c r="K331" s="7"/>
      <c r="L331" s="13" t="str">
        <f>IF(C331="","",IF(COUNTIFS(Parametry!$C$54:$C$113,E331)=1,INDEX(Parametry!$D$54:$D$113,MATCH(E331,Parametry!$C$54:$C$113,0)),""))</f>
        <v/>
      </c>
      <c r="M331" s="7">
        <f t="shared" si="15"/>
        <v>0</v>
      </c>
      <c r="N331" s="13">
        <f>IF(AND(ISNUMBER(D331),ISNUMBER(Parametry!$G$6)),IF(AND(YEAR(D331)=Parametry!$G$6,M331&lt;=Parametry!$G$7),1,0),0)</f>
        <v>0</v>
      </c>
      <c r="O331" s="13">
        <f>IF(C331="",IF(COUNTA(D331:J331)&gt;0,1,0),IF(OR(COUNTIFS($C$9:$C$1008,C331)&lt;&gt;1,NOT(ISNUMBER(D331)),NOT(ISNUMBER(I331)),L331="",AND(F331&lt;&gt;"",COUNTIFS(Umowy!$C$9:$C$108,F331,Umowy!$D$9:$D$108,L331)&lt;&gt;1)),1,0))</f>
        <v>0</v>
      </c>
      <c r="P331" s="7" t="str">
        <f t="shared" si="16"/>
        <v/>
      </c>
      <c r="Q331" s="7" t="str">
        <f t="shared" si="17"/>
        <v/>
      </c>
    </row>
    <row r="332" spans="1:17" ht="24" customHeight="1">
      <c r="A332" s="7"/>
      <c r="B332" s="7"/>
      <c r="C332" s="3"/>
      <c r="D332" s="2"/>
      <c r="E332" s="3"/>
      <c r="F332" s="3"/>
      <c r="G332" s="3"/>
      <c r="H332" s="3"/>
      <c r="I332" s="6"/>
      <c r="J332" s="3"/>
      <c r="K332" s="7"/>
      <c r="L332" s="13" t="str">
        <f>IF(C332="","",IF(COUNTIFS(Parametry!$C$54:$C$113,E332)=1,INDEX(Parametry!$D$54:$D$113,MATCH(E332,Parametry!$C$54:$C$113,0)),""))</f>
        <v/>
      </c>
      <c r="M332" s="7">
        <f t="shared" si="15"/>
        <v>0</v>
      </c>
      <c r="N332" s="13">
        <f>IF(AND(ISNUMBER(D332),ISNUMBER(Parametry!$G$6)),IF(AND(YEAR(D332)=Parametry!$G$6,M332&lt;=Parametry!$G$7),1,0),0)</f>
        <v>0</v>
      </c>
      <c r="O332" s="13">
        <f>IF(C332="",IF(COUNTA(D332:J332)&gt;0,1,0),IF(OR(COUNTIFS($C$9:$C$1008,C332)&lt;&gt;1,NOT(ISNUMBER(D332)),NOT(ISNUMBER(I332)),L332="",AND(F332&lt;&gt;"",COUNTIFS(Umowy!$C$9:$C$108,F332,Umowy!$D$9:$D$108,L332)&lt;&gt;1)),1,0))</f>
        <v>0</v>
      </c>
      <c r="P332" s="7" t="str">
        <f t="shared" si="16"/>
        <v/>
      </c>
      <c r="Q332" s="7" t="str">
        <f t="shared" si="17"/>
        <v/>
      </c>
    </row>
    <row r="333" spans="1:17" ht="24" customHeight="1">
      <c r="A333" s="7"/>
      <c r="B333" s="7"/>
      <c r="C333" s="3"/>
      <c r="D333" s="2"/>
      <c r="E333" s="3"/>
      <c r="F333" s="3"/>
      <c r="G333" s="3"/>
      <c r="H333" s="3"/>
      <c r="I333" s="6"/>
      <c r="J333" s="3"/>
      <c r="K333" s="7"/>
      <c r="L333" s="13" t="str">
        <f>IF(C333="","",IF(COUNTIFS(Parametry!$C$54:$C$113,E333)=1,INDEX(Parametry!$D$54:$D$113,MATCH(E333,Parametry!$C$54:$C$113,0)),""))</f>
        <v/>
      </c>
      <c r="M333" s="7">
        <f t="shared" si="15"/>
        <v>0</v>
      </c>
      <c r="N333" s="13">
        <f>IF(AND(ISNUMBER(D333),ISNUMBER(Parametry!$G$6)),IF(AND(YEAR(D333)=Parametry!$G$6,M333&lt;=Parametry!$G$7),1,0),0)</f>
        <v>0</v>
      </c>
      <c r="O333" s="13">
        <f>IF(C333="",IF(COUNTA(D333:J333)&gt;0,1,0),IF(OR(COUNTIFS($C$9:$C$1008,C333)&lt;&gt;1,NOT(ISNUMBER(D333)),NOT(ISNUMBER(I333)),L333="",AND(F333&lt;&gt;"",COUNTIFS(Umowy!$C$9:$C$108,F333,Umowy!$D$9:$D$108,L333)&lt;&gt;1)),1,0))</f>
        <v>0</v>
      </c>
      <c r="P333" s="7" t="str">
        <f t="shared" si="16"/>
        <v/>
      </c>
      <c r="Q333" s="7" t="str">
        <f t="shared" si="17"/>
        <v/>
      </c>
    </row>
    <row r="334" spans="1:17" ht="24" customHeight="1">
      <c r="A334" s="7"/>
      <c r="B334" s="7"/>
      <c r="C334" s="3"/>
      <c r="D334" s="2"/>
      <c r="E334" s="3"/>
      <c r="F334" s="3"/>
      <c r="G334" s="3"/>
      <c r="H334" s="3"/>
      <c r="I334" s="6"/>
      <c r="J334" s="3"/>
      <c r="K334" s="7"/>
      <c r="L334" s="13" t="str">
        <f>IF(C334="","",IF(COUNTIFS(Parametry!$C$54:$C$113,E334)=1,INDEX(Parametry!$D$54:$D$113,MATCH(E334,Parametry!$C$54:$C$113,0)),""))</f>
        <v/>
      </c>
      <c r="M334" s="7">
        <f t="shared" si="15"/>
        <v>0</v>
      </c>
      <c r="N334" s="13">
        <f>IF(AND(ISNUMBER(D334),ISNUMBER(Parametry!$G$6)),IF(AND(YEAR(D334)=Parametry!$G$6,M334&lt;=Parametry!$G$7),1,0),0)</f>
        <v>0</v>
      </c>
      <c r="O334" s="13">
        <f>IF(C334="",IF(COUNTA(D334:J334)&gt;0,1,0),IF(OR(COUNTIFS($C$9:$C$1008,C334)&lt;&gt;1,NOT(ISNUMBER(D334)),NOT(ISNUMBER(I334)),L334="",AND(F334&lt;&gt;"",COUNTIFS(Umowy!$C$9:$C$108,F334,Umowy!$D$9:$D$108,L334)&lt;&gt;1)),1,0))</f>
        <v>0</v>
      </c>
      <c r="P334" s="7" t="str">
        <f t="shared" si="16"/>
        <v/>
      </c>
      <c r="Q334" s="7" t="str">
        <f t="shared" si="17"/>
        <v/>
      </c>
    </row>
    <row r="335" spans="1:17" ht="24" customHeight="1">
      <c r="A335" s="7"/>
      <c r="B335" s="7"/>
      <c r="C335" s="3"/>
      <c r="D335" s="2"/>
      <c r="E335" s="3"/>
      <c r="F335" s="3"/>
      <c r="G335" s="3"/>
      <c r="H335" s="3"/>
      <c r="I335" s="6"/>
      <c r="J335" s="3"/>
      <c r="K335" s="7"/>
      <c r="L335" s="13" t="str">
        <f>IF(C335="","",IF(COUNTIFS(Parametry!$C$54:$C$113,E335)=1,INDEX(Parametry!$D$54:$D$113,MATCH(E335,Parametry!$C$54:$C$113,0)),""))</f>
        <v/>
      </c>
      <c r="M335" s="7">
        <f t="shared" si="15"/>
        <v>0</v>
      </c>
      <c r="N335" s="13">
        <f>IF(AND(ISNUMBER(D335),ISNUMBER(Parametry!$G$6)),IF(AND(YEAR(D335)=Parametry!$G$6,M335&lt;=Parametry!$G$7),1,0),0)</f>
        <v>0</v>
      </c>
      <c r="O335" s="13">
        <f>IF(C335="",IF(COUNTA(D335:J335)&gt;0,1,0),IF(OR(COUNTIFS($C$9:$C$1008,C335)&lt;&gt;1,NOT(ISNUMBER(D335)),NOT(ISNUMBER(I335)),L335="",AND(F335&lt;&gt;"",COUNTIFS(Umowy!$C$9:$C$108,F335,Umowy!$D$9:$D$108,L335)&lt;&gt;1)),1,0))</f>
        <v>0</v>
      </c>
      <c r="P335" s="7" t="str">
        <f t="shared" si="16"/>
        <v/>
      </c>
      <c r="Q335" s="7" t="str">
        <f t="shared" si="17"/>
        <v/>
      </c>
    </row>
    <row r="336" spans="1:17" ht="24" customHeight="1">
      <c r="A336" s="7"/>
      <c r="B336" s="7"/>
      <c r="C336" s="3"/>
      <c r="D336" s="2"/>
      <c r="E336" s="3"/>
      <c r="F336" s="3"/>
      <c r="G336" s="3"/>
      <c r="H336" s="3"/>
      <c r="I336" s="6"/>
      <c r="J336" s="3"/>
      <c r="K336" s="7"/>
      <c r="L336" s="13" t="str">
        <f>IF(C336="","",IF(COUNTIFS(Parametry!$C$54:$C$113,E336)=1,INDEX(Parametry!$D$54:$D$113,MATCH(E336,Parametry!$C$54:$C$113,0)),""))</f>
        <v/>
      </c>
      <c r="M336" s="7">
        <f t="shared" si="15"/>
        <v>0</v>
      </c>
      <c r="N336" s="13">
        <f>IF(AND(ISNUMBER(D336),ISNUMBER(Parametry!$G$6)),IF(AND(YEAR(D336)=Parametry!$G$6,M336&lt;=Parametry!$G$7),1,0),0)</f>
        <v>0</v>
      </c>
      <c r="O336" s="13">
        <f>IF(C336="",IF(COUNTA(D336:J336)&gt;0,1,0),IF(OR(COUNTIFS($C$9:$C$1008,C336)&lt;&gt;1,NOT(ISNUMBER(D336)),NOT(ISNUMBER(I336)),L336="",AND(F336&lt;&gt;"",COUNTIFS(Umowy!$C$9:$C$108,F336,Umowy!$D$9:$D$108,L336)&lt;&gt;1)),1,0))</f>
        <v>0</v>
      </c>
      <c r="P336" s="7" t="str">
        <f t="shared" si="16"/>
        <v/>
      </c>
      <c r="Q336" s="7" t="str">
        <f t="shared" si="17"/>
        <v/>
      </c>
    </row>
    <row r="337" spans="1:17" ht="24" customHeight="1">
      <c r="A337" s="7"/>
      <c r="B337" s="7"/>
      <c r="C337" s="3"/>
      <c r="D337" s="2"/>
      <c r="E337" s="3"/>
      <c r="F337" s="3"/>
      <c r="G337" s="3"/>
      <c r="H337" s="3"/>
      <c r="I337" s="6"/>
      <c r="J337" s="3"/>
      <c r="K337" s="7"/>
      <c r="L337" s="13" t="str">
        <f>IF(C337="","",IF(COUNTIFS(Parametry!$C$54:$C$113,E337)=1,INDEX(Parametry!$D$54:$D$113,MATCH(E337,Parametry!$C$54:$C$113,0)),""))</f>
        <v/>
      </c>
      <c r="M337" s="7">
        <f t="shared" si="15"/>
        <v>0</v>
      </c>
      <c r="N337" s="13">
        <f>IF(AND(ISNUMBER(D337),ISNUMBER(Parametry!$G$6)),IF(AND(YEAR(D337)=Parametry!$G$6,M337&lt;=Parametry!$G$7),1,0),0)</f>
        <v>0</v>
      </c>
      <c r="O337" s="13">
        <f>IF(C337="",IF(COUNTA(D337:J337)&gt;0,1,0),IF(OR(COUNTIFS($C$9:$C$1008,C337)&lt;&gt;1,NOT(ISNUMBER(D337)),NOT(ISNUMBER(I337)),L337="",AND(F337&lt;&gt;"",COUNTIFS(Umowy!$C$9:$C$108,F337,Umowy!$D$9:$D$108,L337)&lt;&gt;1)),1,0))</f>
        <v>0</v>
      </c>
      <c r="P337" s="7" t="str">
        <f t="shared" si="16"/>
        <v/>
      </c>
      <c r="Q337" s="7" t="str">
        <f t="shared" si="17"/>
        <v/>
      </c>
    </row>
    <row r="338" spans="1:17" ht="24" customHeight="1">
      <c r="A338" s="7"/>
      <c r="B338" s="7"/>
      <c r="C338" s="3"/>
      <c r="D338" s="2"/>
      <c r="E338" s="3"/>
      <c r="F338" s="3"/>
      <c r="G338" s="3"/>
      <c r="H338" s="3"/>
      <c r="I338" s="6"/>
      <c r="J338" s="3"/>
      <c r="K338" s="7"/>
      <c r="L338" s="13" t="str">
        <f>IF(C338="","",IF(COUNTIFS(Parametry!$C$54:$C$113,E338)=1,INDEX(Parametry!$D$54:$D$113,MATCH(E338,Parametry!$C$54:$C$113,0)),""))</f>
        <v/>
      </c>
      <c r="M338" s="7">
        <f t="shared" si="15"/>
        <v>0</v>
      </c>
      <c r="N338" s="13">
        <f>IF(AND(ISNUMBER(D338),ISNUMBER(Parametry!$G$6)),IF(AND(YEAR(D338)=Parametry!$G$6,M338&lt;=Parametry!$G$7),1,0),0)</f>
        <v>0</v>
      </c>
      <c r="O338" s="13">
        <f>IF(C338="",IF(COUNTA(D338:J338)&gt;0,1,0),IF(OR(COUNTIFS($C$9:$C$1008,C338)&lt;&gt;1,NOT(ISNUMBER(D338)),NOT(ISNUMBER(I338)),L338="",AND(F338&lt;&gt;"",COUNTIFS(Umowy!$C$9:$C$108,F338,Umowy!$D$9:$D$108,L338)&lt;&gt;1)),1,0))</f>
        <v>0</v>
      </c>
      <c r="P338" s="7" t="str">
        <f t="shared" si="16"/>
        <v/>
      </c>
      <c r="Q338" s="7" t="str">
        <f t="shared" si="17"/>
        <v/>
      </c>
    </row>
    <row r="339" spans="1:17" ht="24" customHeight="1">
      <c r="A339" s="7"/>
      <c r="B339" s="7"/>
      <c r="C339" s="3"/>
      <c r="D339" s="2"/>
      <c r="E339" s="3"/>
      <c r="F339" s="3"/>
      <c r="G339" s="3"/>
      <c r="H339" s="3"/>
      <c r="I339" s="6"/>
      <c r="J339" s="3"/>
      <c r="K339" s="7"/>
      <c r="L339" s="13" t="str">
        <f>IF(C339="","",IF(COUNTIFS(Parametry!$C$54:$C$113,E339)=1,INDEX(Parametry!$D$54:$D$113,MATCH(E339,Parametry!$C$54:$C$113,0)),""))</f>
        <v/>
      </c>
      <c r="M339" s="7">
        <f t="shared" si="15"/>
        <v>0</v>
      </c>
      <c r="N339" s="13">
        <f>IF(AND(ISNUMBER(D339),ISNUMBER(Parametry!$G$6)),IF(AND(YEAR(D339)=Parametry!$G$6,M339&lt;=Parametry!$G$7),1,0),0)</f>
        <v>0</v>
      </c>
      <c r="O339" s="13">
        <f>IF(C339="",IF(COUNTA(D339:J339)&gt;0,1,0),IF(OR(COUNTIFS($C$9:$C$1008,C339)&lt;&gt;1,NOT(ISNUMBER(D339)),NOT(ISNUMBER(I339)),L339="",AND(F339&lt;&gt;"",COUNTIFS(Umowy!$C$9:$C$108,F339,Umowy!$D$9:$D$108,L339)&lt;&gt;1)),1,0))</f>
        <v>0</v>
      </c>
      <c r="P339" s="7" t="str">
        <f t="shared" si="16"/>
        <v/>
      </c>
      <c r="Q339" s="7" t="str">
        <f t="shared" si="17"/>
        <v/>
      </c>
    </row>
    <row r="340" spans="1:17" ht="24" customHeight="1">
      <c r="A340" s="7"/>
      <c r="B340" s="7"/>
      <c r="C340" s="3"/>
      <c r="D340" s="2"/>
      <c r="E340" s="3"/>
      <c r="F340" s="3"/>
      <c r="G340" s="3"/>
      <c r="H340" s="3"/>
      <c r="I340" s="6"/>
      <c r="J340" s="3"/>
      <c r="K340" s="7"/>
      <c r="L340" s="13" t="str">
        <f>IF(C340="","",IF(COUNTIFS(Parametry!$C$54:$C$113,E340)=1,INDEX(Parametry!$D$54:$D$113,MATCH(E340,Parametry!$C$54:$C$113,0)),""))</f>
        <v/>
      </c>
      <c r="M340" s="7">
        <f t="shared" si="15"/>
        <v>0</v>
      </c>
      <c r="N340" s="13">
        <f>IF(AND(ISNUMBER(D340),ISNUMBER(Parametry!$G$6)),IF(AND(YEAR(D340)=Parametry!$G$6,M340&lt;=Parametry!$G$7),1,0),0)</f>
        <v>0</v>
      </c>
      <c r="O340" s="13">
        <f>IF(C340="",IF(COUNTA(D340:J340)&gt;0,1,0),IF(OR(COUNTIFS($C$9:$C$1008,C340)&lt;&gt;1,NOT(ISNUMBER(D340)),NOT(ISNUMBER(I340)),L340="",AND(F340&lt;&gt;"",COUNTIFS(Umowy!$C$9:$C$108,F340,Umowy!$D$9:$D$108,L340)&lt;&gt;1)),1,0))</f>
        <v>0</v>
      </c>
      <c r="P340" s="7" t="str">
        <f t="shared" si="16"/>
        <v/>
      </c>
      <c r="Q340" s="7" t="str">
        <f t="shared" si="17"/>
        <v/>
      </c>
    </row>
    <row r="341" spans="1:17" ht="24" customHeight="1">
      <c r="A341" s="7"/>
      <c r="B341" s="7"/>
      <c r="C341" s="3"/>
      <c r="D341" s="2"/>
      <c r="E341" s="3"/>
      <c r="F341" s="3"/>
      <c r="G341" s="3"/>
      <c r="H341" s="3"/>
      <c r="I341" s="6"/>
      <c r="J341" s="3"/>
      <c r="K341" s="7"/>
      <c r="L341" s="13" t="str">
        <f>IF(C341="","",IF(COUNTIFS(Parametry!$C$54:$C$113,E341)=1,INDEX(Parametry!$D$54:$D$113,MATCH(E341,Parametry!$C$54:$C$113,0)),""))</f>
        <v/>
      </c>
      <c r="M341" s="7">
        <f t="shared" si="15"/>
        <v>0</v>
      </c>
      <c r="N341" s="13">
        <f>IF(AND(ISNUMBER(D341),ISNUMBER(Parametry!$G$6)),IF(AND(YEAR(D341)=Parametry!$G$6,M341&lt;=Parametry!$G$7),1,0),0)</f>
        <v>0</v>
      </c>
      <c r="O341" s="13">
        <f>IF(C341="",IF(COUNTA(D341:J341)&gt;0,1,0),IF(OR(COUNTIFS($C$9:$C$1008,C341)&lt;&gt;1,NOT(ISNUMBER(D341)),NOT(ISNUMBER(I341)),L341="",AND(F341&lt;&gt;"",COUNTIFS(Umowy!$C$9:$C$108,F341,Umowy!$D$9:$D$108,L341)&lt;&gt;1)),1,0))</f>
        <v>0</v>
      </c>
      <c r="P341" s="7" t="str">
        <f t="shared" si="16"/>
        <v/>
      </c>
      <c r="Q341" s="7" t="str">
        <f t="shared" si="17"/>
        <v/>
      </c>
    </row>
    <row r="342" spans="1:17" ht="24" customHeight="1">
      <c r="A342" s="7"/>
      <c r="B342" s="7"/>
      <c r="C342" s="3"/>
      <c r="D342" s="2"/>
      <c r="E342" s="3"/>
      <c r="F342" s="3"/>
      <c r="G342" s="3"/>
      <c r="H342" s="3"/>
      <c r="I342" s="6"/>
      <c r="J342" s="3"/>
      <c r="K342" s="7"/>
      <c r="L342" s="13" t="str">
        <f>IF(C342="","",IF(COUNTIFS(Parametry!$C$54:$C$113,E342)=1,INDEX(Parametry!$D$54:$D$113,MATCH(E342,Parametry!$C$54:$C$113,0)),""))</f>
        <v/>
      </c>
      <c r="M342" s="7">
        <f t="shared" si="15"/>
        <v>0</v>
      </c>
      <c r="N342" s="13">
        <f>IF(AND(ISNUMBER(D342),ISNUMBER(Parametry!$G$6)),IF(AND(YEAR(D342)=Parametry!$G$6,M342&lt;=Parametry!$G$7),1,0),0)</f>
        <v>0</v>
      </c>
      <c r="O342" s="13">
        <f>IF(C342="",IF(COUNTA(D342:J342)&gt;0,1,0),IF(OR(COUNTIFS($C$9:$C$1008,C342)&lt;&gt;1,NOT(ISNUMBER(D342)),NOT(ISNUMBER(I342)),L342="",AND(F342&lt;&gt;"",COUNTIFS(Umowy!$C$9:$C$108,F342,Umowy!$D$9:$D$108,L342)&lt;&gt;1)),1,0))</f>
        <v>0</v>
      </c>
      <c r="P342" s="7" t="str">
        <f t="shared" si="16"/>
        <v/>
      </c>
      <c r="Q342" s="7" t="str">
        <f t="shared" si="17"/>
        <v/>
      </c>
    </row>
    <row r="343" spans="1:17" ht="24" customHeight="1">
      <c r="A343" s="7"/>
      <c r="B343" s="7"/>
      <c r="C343" s="3"/>
      <c r="D343" s="2"/>
      <c r="E343" s="3"/>
      <c r="F343" s="3"/>
      <c r="G343" s="3"/>
      <c r="H343" s="3"/>
      <c r="I343" s="6"/>
      <c r="J343" s="3"/>
      <c r="K343" s="7"/>
      <c r="L343" s="13" t="str">
        <f>IF(C343="","",IF(COUNTIFS(Parametry!$C$54:$C$113,E343)=1,INDEX(Parametry!$D$54:$D$113,MATCH(E343,Parametry!$C$54:$C$113,0)),""))</f>
        <v/>
      </c>
      <c r="M343" s="7">
        <f t="shared" si="15"/>
        <v>0</v>
      </c>
      <c r="N343" s="13">
        <f>IF(AND(ISNUMBER(D343),ISNUMBER(Parametry!$G$6)),IF(AND(YEAR(D343)=Parametry!$G$6,M343&lt;=Parametry!$G$7),1,0),0)</f>
        <v>0</v>
      </c>
      <c r="O343" s="13">
        <f>IF(C343="",IF(COUNTA(D343:J343)&gt;0,1,0),IF(OR(COUNTIFS($C$9:$C$1008,C343)&lt;&gt;1,NOT(ISNUMBER(D343)),NOT(ISNUMBER(I343)),L343="",AND(F343&lt;&gt;"",COUNTIFS(Umowy!$C$9:$C$108,F343,Umowy!$D$9:$D$108,L343)&lt;&gt;1)),1,0))</f>
        <v>0</v>
      </c>
      <c r="P343" s="7" t="str">
        <f t="shared" si="16"/>
        <v/>
      </c>
      <c r="Q343" s="7" t="str">
        <f t="shared" si="17"/>
        <v/>
      </c>
    </row>
    <row r="344" spans="1:17" ht="24" customHeight="1">
      <c r="A344" s="7"/>
      <c r="B344" s="7"/>
      <c r="C344" s="3"/>
      <c r="D344" s="2"/>
      <c r="E344" s="3"/>
      <c r="F344" s="3"/>
      <c r="G344" s="3"/>
      <c r="H344" s="3"/>
      <c r="I344" s="6"/>
      <c r="J344" s="3"/>
      <c r="K344" s="7"/>
      <c r="L344" s="13" t="str">
        <f>IF(C344="","",IF(COUNTIFS(Parametry!$C$54:$C$113,E344)=1,INDEX(Parametry!$D$54:$D$113,MATCH(E344,Parametry!$C$54:$C$113,0)),""))</f>
        <v/>
      </c>
      <c r="M344" s="7">
        <f t="shared" si="15"/>
        <v>0</v>
      </c>
      <c r="N344" s="13">
        <f>IF(AND(ISNUMBER(D344),ISNUMBER(Parametry!$G$6)),IF(AND(YEAR(D344)=Parametry!$G$6,M344&lt;=Parametry!$G$7),1,0),0)</f>
        <v>0</v>
      </c>
      <c r="O344" s="13">
        <f>IF(C344="",IF(COUNTA(D344:J344)&gt;0,1,0),IF(OR(COUNTIFS($C$9:$C$1008,C344)&lt;&gt;1,NOT(ISNUMBER(D344)),NOT(ISNUMBER(I344)),L344="",AND(F344&lt;&gt;"",COUNTIFS(Umowy!$C$9:$C$108,F344,Umowy!$D$9:$D$108,L344)&lt;&gt;1)),1,0))</f>
        <v>0</v>
      </c>
      <c r="P344" s="7" t="str">
        <f t="shared" si="16"/>
        <v/>
      </c>
      <c r="Q344" s="7" t="str">
        <f t="shared" si="17"/>
        <v/>
      </c>
    </row>
    <row r="345" spans="1:17" ht="24" customHeight="1">
      <c r="A345" s="7"/>
      <c r="B345" s="7"/>
      <c r="C345" s="3"/>
      <c r="D345" s="2"/>
      <c r="E345" s="3"/>
      <c r="F345" s="3"/>
      <c r="G345" s="3"/>
      <c r="H345" s="3"/>
      <c r="I345" s="6"/>
      <c r="J345" s="3"/>
      <c r="K345" s="7"/>
      <c r="L345" s="13" t="str">
        <f>IF(C345="","",IF(COUNTIFS(Parametry!$C$54:$C$113,E345)=1,INDEX(Parametry!$D$54:$D$113,MATCH(E345,Parametry!$C$54:$C$113,0)),""))</f>
        <v/>
      </c>
      <c r="M345" s="7">
        <f t="shared" si="15"/>
        <v>0</v>
      </c>
      <c r="N345" s="13">
        <f>IF(AND(ISNUMBER(D345),ISNUMBER(Parametry!$G$6)),IF(AND(YEAR(D345)=Parametry!$G$6,M345&lt;=Parametry!$G$7),1,0),0)</f>
        <v>0</v>
      </c>
      <c r="O345" s="13">
        <f>IF(C345="",IF(COUNTA(D345:J345)&gt;0,1,0),IF(OR(COUNTIFS($C$9:$C$1008,C345)&lt;&gt;1,NOT(ISNUMBER(D345)),NOT(ISNUMBER(I345)),L345="",AND(F345&lt;&gt;"",COUNTIFS(Umowy!$C$9:$C$108,F345,Umowy!$D$9:$D$108,L345)&lt;&gt;1)),1,0))</f>
        <v>0</v>
      </c>
      <c r="P345" s="7" t="str">
        <f t="shared" si="16"/>
        <v/>
      </c>
      <c r="Q345" s="7" t="str">
        <f t="shared" si="17"/>
        <v/>
      </c>
    </row>
    <row r="346" spans="1:17" ht="24" customHeight="1">
      <c r="A346" s="7"/>
      <c r="B346" s="7"/>
      <c r="C346" s="3"/>
      <c r="D346" s="2"/>
      <c r="E346" s="3"/>
      <c r="F346" s="3"/>
      <c r="G346" s="3"/>
      <c r="H346" s="3"/>
      <c r="I346" s="6"/>
      <c r="J346" s="3"/>
      <c r="K346" s="7"/>
      <c r="L346" s="13" t="str">
        <f>IF(C346="","",IF(COUNTIFS(Parametry!$C$54:$C$113,E346)=1,INDEX(Parametry!$D$54:$D$113,MATCH(E346,Parametry!$C$54:$C$113,0)),""))</f>
        <v/>
      </c>
      <c r="M346" s="7">
        <f t="shared" si="15"/>
        <v>0</v>
      </c>
      <c r="N346" s="13">
        <f>IF(AND(ISNUMBER(D346),ISNUMBER(Parametry!$G$6)),IF(AND(YEAR(D346)=Parametry!$G$6,M346&lt;=Parametry!$G$7),1,0),0)</f>
        <v>0</v>
      </c>
      <c r="O346" s="13">
        <f>IF(C346="",IF(COUNTA(D346:J346)&gt;0,1,0),IF(OR(COUNTIFS($C$9:$C$1008,C346)&lt;&gt;1,NOT(ISNUMBER(D346)),NOT(ISNUMBER(I346)),L346="",AND(F346&lt;&gt;"",COUNTIFS(Umowy!$C$9:$C$108,F346,Umowy!$D$9:$D$108,L346)&lt;&gt;1)),1,0))</f>
        <v>0</v>
      </c>
      <c r="P346" s="7" t="str">
        <f t="shared" si="16"/>
        <v/>
      </c>
      <c r="Q346" s="7" t="str">
        <f t="shared" si="17"/>
        <v/>
      </c>
    </row>
    <row r="347" spans="1:17" ht="24" customHeight="1">
      <c r="A347" s="7"/>
      <c r="B347" s="7"/>
      <c r="C347" s="3"/>
      <c r="D347" s="2"/>
      <c r="E347" s="3"/>
      <c r="F347" s="3"/>
      <c r="G347" s="3"/>
      <c r="H347" s="3"/>
      <c r="I347" s="6"/>
      <c r="J347" s="3"/>
      <c r="K347" s="7"/>
      <c r="L347" s="13" t="str">
        <f>IF(C347="","",IF(COUNTIFS(Parametry!$C$54:$C$113,E347)=1,INDEX(Parametry!$D$54:$D$113,MATCH(E347,Parametry!$C$54:$C$113,0)),""))</f>
        <v/>
      </c>
      <c r="M347" s="7">
        <f t="shared" si="15"/>
        <v>0</v>
      </c>
      <c r="N347" s="13">
        <f>IF(AND(ISNUMBER(D347),ISNUMBER(Parametry!$G$6)),IF(AND(YEAR(D347)=Parametry!$G$6,M347&lt;=Parametry!$G$7),1,0),0)</f>
        <v>0</v>
      </c>
      <c r="O347" s="13">
        <f>IF(C347="",IF(COUNTA(D347:J347)&gt;0,1,0),IF(OR(COUNTIFS($C$9:$C$1008,C347)&lt;&gt;1,NOT(ISNUMBER(D347)),NOT(ISNUMBER(I347)),L347="",AND(F347&lt;&gt;"",COUNTIFS(Umowy!$C$9:$C$108,F347,Umowy!$D$9:$D$108,L347)&lt;&gt;1)),1,0))</f>
        <v>0</v>
      </c>
      <c r="P347" s="7" t="str">
        <f t="shared" si="16"/>
        <v/>
      </c>
      <c r="Q347" s="7" t="str">
        <f t="shared" si="17"/>
        <v/>
      </c>
    </row>
    <row r="348" spans="1:17" ht="24" customHeight="1">
      <c r="A348" s="7"/>
      <c r="B348" s="7"/>
      <c r="C348" s="3"/>
      <c r="D348" s="2"/>
      <c r="E348" s="3"/>
      <c r="F348" s="3"/>
      <c r="G348" s="3"/>
      <c r="H348" s="3"/>
      <c r="I348" s="6"/>
      <c r="J348" s="3"/>
      <c r="K348" s="7"/>
      <c r="L348" s="13" t="str">
        <f>IF(C348="","",IF(COUNTIFS(Parametry!$C$54:$C$113,E348)=1,INDEX(Parametry!$D$54:$D$113,MATCH(E348,Parametry!$C$54:$C$113,0)),""))</f>
        <v/>
      </c>
      <c r="M348" s="7">
        <f t="shared" si="15"/>
        <v>0</v>
      </c>
      <c r="N348" s="13">
        <f>IF(AND(ISNUMBER(D348),ISNUMBER(Parametry!$G$6)),IF(AND(YEAR(D348)=Parametry!$G$6,M348&lt;=Parametry!$G$7),1,0),0)</f>
        <v>0</v>
      </c>
      <c r="O348" s="13">
        <f>IF(C348="",IF(COUNTA(D348:J348)&gt;0,1,0),IF(OR(COUNTIFS($C$9:$C$1008,C348)&lt;&gt;1,NOT(ISNUMBER(D348)),NOT(ISNUMBER(I348)),L348="",AND(F348&lt;&gt;"",COUNTIFS(Umowy!$C$9:$C$108,F348,Umowy!$D$9:$D$108,L348)&lt;&gt;1)),1,0))</f>
        <v>0</v>
      </c>
      <c r="P348" s="7" t="str">
        <f t="shared" si="16"/>
        <v/>
      </c>
      <c r="Q348" s="7" t="str">
        <f t="shared" si="17"/>
        <v/>
      </c>
    </row>
    <row r="349" spans="1:17" ht="24" customHeight="1">
      <c r="A349" s="7"/>
      <c r="B349" s="7"/>
      <c r="C349" s="3"/>
      <c r="D349" s="2"/>
      <c r="E349" s="3"/>
      <c r="F349" s="3"/>
      <c r="G349" s="3"/>
      <c r="H349" s="3"/>
      <c r="I349" s="6"/>
      <c r="J349" s="3"/>
      <c r="K349" s="7"/>
      <c r="L349" s="13" t="str">
        <f>IF(C349="","",IF(COUNTIFS(Parametry!$C$54:$C$113,E349)=1,INDEX(Parametry!$D$54:$D$113,MATCH(E349,Parametry!$C$54:$C$113,0)),""))</f>
        <v/>
      </c>
      <c r="M349" s="7">
        <f t="shared" si="15"/>
        <v>0</v>
      </c>
      <c r="N349" s="13">
        <f>IF(AND(ISNUMBER(D349),ISNUMBER(Parametry!$G$6)),IF(AND(YEAR(D349)=Parametry!$G$6,M349&lt;=Parametry!$G$7),1,0),0)</f>
        <v>0</v>
      </c>
      <c r="O349" s="13">
        <f>IF(C349="",IF(COUNTA(D349:J349)&gt;0,1,0),IF(OR(COUNTIFS($C$9:$C$1008,C349)&lt;&gt;1,NOT(ISNUMBER(D349)),NOT(ISNUMBER(I349)),L349="",AND(F349&lt;&gt;"",COUNTIFS(Umowy!$C$9:$C$108,F349,Umowy!$D$9:$D$108,L349)&lt;&gt;1)),1,0))</f>
        <v>0</v>
      </c>
      <c r="P349" s="7" t="str">
        <f t="shared" si="16"/>
        <v/>
      </c>
      <c r="Q349" s="7" t="str">
        <f t="shared" si="17"/>
        <v/>
      </c>
    </row>
    <row r="350" spans="1:17" ht="24" customHeight="1">
      <c r="A350" s="7"/>
      <c r="B350" s="7"/>
      <c r="C350" s="3"/>
      <c r="D350" s="2"/>
      <c r="E350" s="3"/>
      <c r="F350" s="3"/>
      <c r="G350" s="3"/>
      <c r="H350" s="3"/>
      <c r="I350" s="6"/>
      <c r="J350" s="3"/>
      <c r="K350" s="7"/>
      <c r="L350" s="13" t="str">
        <f>IF(C350="","",IF(COUNTIFS(Parametry!$C$54:$C$113,E350)=1,INDEX(Parametry!$D$54:$D$113,MATCH(E350,Parametry!$C$54:$C$113,0)),""))</f>
        <v/>
      </c>
      <c r="M350" s="7">
        <f t="shared" si="15"/>
        <v>0</v>
      </c>
      <c r="N350" s="13">
        <f>IF(AND(ISNUMBER(D350),ISNUMBER(Parametry!$G$6)),IF(AND(YEAR(D350)=Parametry!$G$6,M350&lt;=Parametry!$G$7),1,0),0)</f>
        <v>0</v>
      </c>
      <c r="O350" s="13">
        <f>IF(C350="",IF(COUNTA(D350:J350)&gt;0,1,0),IF(OR(COUNTIFS($C$9:$C$1008,C350)&lt;&gt;1,NOT(ISNUMBER(D350)),NOT(ISNUMBER(I350)),L350="",AND(F350&lt;&gt;"",COUNTIFS(Umowy!$C$9:$C$108,F350,Umowy!$D$9:$D$108,L350)&lt;&gt;1)),1,0))</f>
        <v>0</v>
      </c>
      <c r="P350" s="7" t="str">
        <f t="shared" si="16"/>
        <v/>
      </c>
      <c r="Q350" s="7" t="str">
        <f t="shared" si="17"/>
        <v/>
      </c>
    </row>
    <row r="351" spans="1:17" ht="24" customHeight="1">
      <c r="A351" s="7"/>
      <c r="B351" s="7"/>
      <c r="C351" s="3"/>
      <c r="D351" s="2"/>
      <c r="E351" s="3"/>
      <c r="F351" s="3"/>
      <c r="G351" s="3"/>
      <c r="H351" s="3"/>
      <c r="I351" s="6"/>
      <c r="J351" s="3"/>
      <c r="K351" s="7"/>
      <c r="L351" s="13" t="str">
        <f>IF(C351="","",IF(COUNTIFS(Parametry!$C$54:$C$113,E351)=1,INDEX(Parametry!$D$54:$D$113,MATCH(E351,Parametry!$C$54:$C$113,0)),""))</f>
        <v/>
      </c>
      <c r="M351" s="7">
        <f t="shared" si="15"/>
        <v>0</v>
      </c>
      <c r="N351" s="13">
        <f>IF(AND(ISNUMBER(D351),ISNUMBER(Parametry!$G$6)),IF(AND(YEAR(D351)=Parametry!$G$6,M351&lt;=Parametry!$G$7),1,0),0)</f>
        <v>0</v>
      </c>
      <c r="O351" s="13">
        <f>IF(C351="",IF(COUNTA(D351:J351)&gt;0,1,0),IF(OR(COUNTIFS($C$9:$C$1008,C351)&lt;&gt;1,NOT(ISNUMBER(D351)),NOT(ISNUMBER(I351)),L351="",AND(F351&lt;&gt;"",COUNTIFS(Umowy!$C$9:$C$108,F351,Umowy!$D$9:$D$108,L351)&lt;&gt;1)),1,0))</f>
        <v>0</v>
      </c>
      <c r="P351" s="7" t="str">
        <f t="shared" si="16"/>
        <v/>
      </c>
      <c r="Q351" s="7" t="str">
        <f t="shared" si="17"/>
        <v/>
      </c>
    </row>
    <row r="352" spans="1:17" ht="24" customHeight="1">
      <c r="A352" s="7"/>
      <c r="B352" s="7"/>
      <c r="C352" s="3"/>
      <c r="D352" s="2"/>
      <c r="E352" s="3"/>
      <c r="F352" s="3"/>
      <c r="G352" s="3"/>
      <c r="H352" s="3"/>
      <c r="I352" s="6"/>
      <c r="J352" s="3"/>
      <c r="K352" s="7"/>
      <c r="L352" s="13" t="str">
        <f>IF(C352="","",IF(COUNTIFS(Parametry!$C$54:$C$113,E352)=1,INDEX(Parametry!$D$54:$D$113,MATCH(E352,Parametry!$C$54:$C$113,0)),""))</f>
        <v/>
      </c>
      <c r="M352" s="7">
        <f t="shared" si="15"/>
        <v>0</v>
      </c>
      <c r="N352" s="13">
        <f>IF(AND(ISNUMBER(D352),ISNUMBER(Parametry!$G$6)),IF(AND(YEAR(D352)=Parametry!$G$6,M352&lt;=Parametry!$G$7),1,0),0)</f>
        <v>0</v>
      </c>
      <c r="O352" s="13">
        <f>IF(C352="",IF(COUNTA(D352:J352)&gt;0,1,0),IF(OR(COUNTIFS($C$9:$C$1008,C352)&lt;&gt;1,NOT(ISNUMBER(D352)),NOT(ISNUMBER(I352)),L352="",AND(F352&lt;&gt;"",COUNTIFS(Umowy!$C$9:$C$108,F352,Umowy!$D$9:$D$108,L352)&lt;&gt;1)),1,0))</f>
        <v>0</v>
      </c>
      <c r="P352" s="7" t="str">
        <f t="shared" si="16"/>
        <v/>
      </c>
      <c r="Q352" s="7" t="str">
        <f t="shared" si="17"/>
        <v/>
      </c>
    </row>
    <row r="353" spans="1:17" ht="24" customHeight="1">
      <c r="A353" s="7"/>
      <c r="B353" s="7"/>
      <c r="C353" s="3"/>
      <c r="D353" s="2"/>
      <c r="E353" s="3"/>
      <c r="F353" s="3"/>
      <c r="G353" s="3"/>
      <c r="H353" s="3"/>
      <c r="I353" s="6"/>
      <c r="J353" s="3"/>
      <c r="K353" s="7"/>
      <c r="L353" s="13" t="str">
        <f>IF(C353="","",IF(COUNTIFS(Parametry!$C$54:$C$113,E353)=1,INDEX(Parametry!$D$54:$D$113,MATCH(E353,Parametry!$C$54:$C$113,0)),""))</f>
        <v/>
      </c>
      <c r="M353" s="7">
        <f t="shared" si="15"/>
        <v>0</v>
      </c>
      <c r="N353" s="13">
        <f>IF(AND(ISNUMBER(D353),ISNUMBER(Parametry!$G$6)),IF(AND(YEAR(D353)=Parametry!$G$6,M353&lt;=Parametry!$G$7),1,0),0)</f>
        <v>0</v>
      </c>
      <c r="O353" s="13">
        <f>IF(C353="",IF(COUNTA(D353:J353)&gt;0,1,0),IF(OR(COUNTIFS($C$9:$C$1008,C353)&lt;&gt;1,NOT(ISNUMBER(D353)),NOT(ISNUMBER(I353)),L353="",AND(F353&lt;&gt;"",COUNTIFS(Umowy!$C$9:$C$108,F353,Umowy!$D$9:$D$108,L353)&lt;&gt;1)),1,0))</f>
        <v>0</v>
      </c>
      <c r="P353" s="7" t="str">
        <f t="shared" si="16"/>
        <v/>
      </c>
      <c r="Q353" s="7" t="str">
        <f t="shared" si="17"/>
        <v/>
      </c>
    </row>
    <row r="354" spans="1:17" ht="24" customHeight="1">
      <c r="A354" s="7"/>
      <c r="B354" s="7"/>
      <c r="C354" s="3"/>
      <c r="D354" s="2"/>
      <c r="E354" s="3"/>
      <c r="F354" s="3"/>
      <c r="G354" s="3"/>
      <c r="H354" s="3"/>
      <c r="I354" s="6"/>
      <c r="J354" s="3"/>
      <c r="K354" s="7"/>
      <c r="L354" s="13" t="str">
        <f>IF(C354="","",IF(COUNTIFS(Parametry!$C$54:$C$113,E354)=1,INDEX(Parametry!$D$54:$D$113,MATCH(E354,Parametry!$C$54:$C$113,0)),""))</f>
        <v/>
      </c>
      <c r="M354" s="7">
        <f t="shared" si="15"/>
        <v>0</v>
      </c>
      <c r="N354" s="13">
        <f>IF(AND(ISNUMBER(D354),ISNUMBER(Parametry!$G$6)),IF(AND(YEAR(D354)=Parametry!$G$6,M354&lt;=Parametry!$G$7),1,0),0)</f>
        <v>0</v>
      </c>
      <c r="O354" s="13">
        <f>IF(C354="",IF(COUNTA(D354:J354)&gt;0,1,0),IF(OR(COUNTIFS($C$9:$C$1008,C354)&lt;&gt;1,NOT(ISNUMBER(D354)),NOT(ISNUMBER(I354)),L354="",AND(F354&lt;&gt;"",COUNTIFS(Umowy!$C$9:$C$108,F354,Umowy!$D$9:$D$108,L354)&lt;&gt;1)),1,0))</f>
        <v>0</v>
      </c>
      <c r="P354" s="7" t="str">
        <f t="shared" si="16"/>
        <v/>
      </c>
      <c r="Q354" s="7" t="str">
        <f t="shared" si="17"/>
        <v/>
      </c>
    </row>
    <row r="355" spans="1:17" ht="24" customHeight="1">
      <c r="A355" s="7"/>
      <c r="B355" s="7"/>
      <c r="C355" s="3"/>
      <c r="D355" s="2"/>
      <c r="E355" s="3"/>
      <c r="F355" s="3"/>
      <c r="G355" s="3"/>
      <c r="H355" s="3"/>
      <c r="I355" s="6"/>
      <c r="J355" s="3"/>
      <c r="K355" s="7"/>
      <c r="L355" s="13" t="str">
        <f>IF(C355="","",IF(COUNTIFS(Parametry!$C$54:$C$113,E355)=1,INDEX(Parametry!$D$54:$D$113,MATCH(E355,Parametry!$C$54:$C$113,0)),""))</f>
        <v/>
      </c>
      <c r="M355" s="7">
        <f t="shared" si="15"/>
        <v>0</v>
      </c>
      <c r="N355" s="13">
        <f>IF(AND(ISNUMBER(D355),ISNUMBER(Parametry!$G$6)),IF(AND(YEAR(D355)=Parametry!$G$6,M355&lt;=Parametry!$G$7),1,0),0)</f>
        <v>0</v>
      </c>
      <c r="O355" s="13">
        <f>IF(C355="",IF(COUNTA(D355:J355)&gt;0,1,0),IF(OR(COUNTIFS($C$9:$C$1008,C355)&lt;&gt;1,NOT(ISNUMBER(D355)),NOT(ISNUMBER(I355)),L355="",AND(F355&lt;&gt;"",COUNTIFS(Umowy!$C$9:$C$108,F355,Umowy!$D$9:$D$108,L355)&lt;&gt;1)),1,0))</f>
        <v>0</v>
      </c>
      <c r="P355" s="7" t="str">
        <f t="shared" si="16"/>
        <v/>
      </c>
      <c r="Q355" s="7" t="str">
        <f t="shared" si="17"/>
        <v/>
      </c>
    </row>
    <row r="356" spans="1:17" ht="24" customHeight="1">
      <c r="A356" s="7"/>
      <c r="B356" s="7"/>
      <c r="C356" s="3"/>
      <c r="D356" s="2"/>
      <c r="E356" s="3"/>
      <c r="F356" s="3"/>
      <c r="G356" s="3"/>
      <c r="H356" s="3"/>
      <c r="I356" s="6"/>
      <c r="J356" s="3"/>
      <c r="K356" s="7"/>
      <c r="L356" s="13" t="str">
        <f>IF(C356="","",IF(COUNTIFS(Parametry!$C$54:$C$113,E356)=1,INDEX(Parametry!$D$54:$D$113,MATCH(E356,Parametry!$C$54:$C$113,0)),""))</f>
        <v/>
      </c>
      <c r="M356" s="7">
        <f t="shared" si="15"/>
        <v>0</v>
      </c>
      <c r="N356" s="13">
        <f>IF(AND(ISNUMBER(D356),ISNUMBER(Parametry!$G$6)),IF(AND(YEAR(D356)=Parametry!$G$6,M356&lt;=Parametry!$G$7),1,0),0)</f>
        <v>0</v>
      </c>
      <c r="O356" s="13">
        <f>IF(C356="",IF(COUNTA(D356:J356)&gt;0,1,0),IF(OR(COUNTIFS($C$9:$C$1008,C356)&lt;&gt;1,NOT(ISNUMBER(D356)),NOT(ISNUMBER(I356)),L356="",AND(F356&lt;&gt;"",COUNTIFS(Umowy!$C$9:$C$108,F356,Umowy!$D$9:$D$108,L356)&lt;&gt;1)),1,0))</f>
        <v>0</v>
      </c>
      <c r="P356" s="7" t="str">
        <f t="shared" si="16"/>
        <v/>
      </c>
      <c r="Q356" s="7" t="str">
        <f t="shared" si="17"/>
        <v/>
      </c>
    </row>
    <row r="357" spans="1:17" ht="24" customHeight="1">
      <c r="A357" s="7"/>
      <c r="B357" s="7"/>
      <c r="C357" s="3"/>
      <c r="D357" s="2"/>
      <c r="E357" s="3"/>
      <c r="F357" s="3"/>
      <c r="G357" s="3"/>
      <c r="H357" s="3"/>
      <c r="I357" s="6"/>
      <c r="J357" s="3"/>
      <c r="K357" s="7"/>
      <c r="L357" s="13" t="str">
        <f>IF(C357="","",IF(COUNTIFS(Parametry!$C$54:$C$113,E357)=1,INDEX(Parametry!$D$54:$D$113,MATCH(E357,Parametry!$C$54:$C$113,0)),""))</f>
        <v/>
      </c>
      <c r="M357" s="7">
        <f t="shared" si="15"/>
        <v>0</v>
      </c>
      <c r="N357" s="13">
        <f>IF(AND(ISNUMBER(D357),ISNUMBER(Parametry!$G$6)),IF(AND(YEAR(D357)=Parametry!$G$6,M357&lt;=Parametry!$G$7),1,0),0)</f>
        <v>0</v>
      </c>
      <c r="O357" s="13">
        <f>IF(C357="",IF(COUNTA(D357:J357)&gt;0,1,0),IF(OR(COUNTIFS($C$9:$C$1008,C357)&lt;&gt;1,NOT(ISNUMBER(D357)),NOT(ISNUMBER(I357)),L357="",AND(F357&lt;&gt;"",COUNTIFS(Umowy!$C$9:$C$108,F357,Umowy!$D$9:$D$108,L357)&lt;&gt;1)),1,0))</f>
        <v>0</v>
      </c>
      <c r="P357" s="7" t="str">
        <f t="shared" si="16"/>
        <v/>
      </c>
      <c r="Q357" s="7" t="str">
        <f t="shared" si="17"/>
        <v/>
      </c>
    </row>
    <row r="358" spans="1:17" ht="24" customHeight="1">
      <c r="A358" s="7"/>
      <c r="B358" s="7"/>
      <c r="C358" s="3"/>
      <c r="D358" s="2"/>
      <c r="E358" s="3"/>
      <c r="F358" s="3"/>
      <c r="G358" s="3"/>
      <c r="H358" s="3"/>
      <c r="I358" s="6"/>
      <c r="J358" s="3"/>
      <c r="K358" s="7"/>
      <c r="L358" s="13" t="str">
        <f>IF(C358="","",IF(COUNTIFS(Parametry!$C$54:$C$113,E358)=1,INDEX(Parametry!$D$54:$D$113,MATCH(E358,Parametry!$C$54:$C$113,0)),""))</f>
        <v/>
      </c>
      <c r="M358" s="7">
        <f t="shared" si="15"/>
        <v>0</v>
      </c>
      <c r="N358" s="13">
        <f>IF(AND(ISNUMBER(D358),ISNUMBER(Parametry!$G$6)),IF(AND(YEAR(D358)=Parametry!$G$6,M358&lt;=Parametry!$G$7),1,0),0)</f>
        <v>0</v>
      </c>
      <c r="O358" s="13">
        <f>IF(C358="",IF(COUNTA(D358:J358)&gt;0,1,0),IF(OR(COUNTIFS($C$9:$C$1008,C358)&lt;&gt;1,NOT(ISNUMBER(D358)),NOT(ISNUMBER(I358)),L358="",AND(F358&lt;&gt;"",COUNTIFS(Umowy!$C$9:$C$108,F358,Umowy!$D$9:$D$108,L358)&lt;&gt;1)),1,0))</f>
        <v>0</v>
      </c>
      <c r="P358" s="7" t="str">
        <f t="shared" si="16"/>
        <v/>
      </c>
      <c r="Q358" s="7" t="str">
        <f t="shared" si="17"/>
        <v/>
      </c>
    </row>
    <row r="359" spans="1:17" ht="24" customHeight="1">
      <c r="A359" s="7"/>
      <c r="B359" s="7"/>
      <c r="C359" s="3"/>
      <c r="D359" s="2"/>
      <c r="E359" s="3"/>
      <c r="F359" s="3"/>
      <c r="G359" s="3"/>
      <c r="H359" s="3"/>
      <c r="I359" s="6"/>
      <c r="J359" s="3"/>
      <c r="K359" s="7"/>
      <c r="L359" s="13" t="str">
        <f>IF(C359="","",IF(COUNTIFS(Parametry!$C$54:$C$113,E359)=1,INDEX(Parametry!$D$54:$D$113,MATCH(E359,Parametry!$C$54:$C$113,0)),""))</f>
        <v/>
      </c>
      <c r="M359" s="7">
        <f t="shared" si="15"/>
        <v>0</v>
      </c>
      <c r="N359" s="13">
        <f>IF(AND(ISNUMBER(D359),ISNUMBER(Parametry!$G$6)),IF(AND(YEAR(D359)=Parametry!$G$6,M359&lt;=Parametry!$G$7),1,0),0)</f>
        <v>0</v>
      </c>
      <c r="O359" s="13">
        <f>IF(C359="",IF(COUNTA(D359:J359)&gt;0,1,0),IF(OR(COUNTIFS($C$9:$C$1008,C359)&lt;&gt;1,NOT(ISNUMBER(D359)),NOT(ISNUMBER(I359)),L359="",AND(F359&lt;&gt;"",COUNTIFS(Umowy!$C$9:$C$108,F359,Umowy!$D$9:$D$108,L359)&lt;&gt;1)),1,0))</f>
        <v>0</v>
      </c>
      <c r="P359" s="7" t="str">
        <f t="shared" si="16"/>
        <v/>
      </c>
      <c r="Q359" s="7" t="str">
        <f t="shared" si="17"/>
        <v/>
      </c>
    </row>
    <row r="360" spans="1:17" ht="24" customHeight="1">
      <c r="A360" s="7"/>
      <c r="B360" s="7"/>
      <c r="C360" s="3"/>
      <c r="D360" s="2"/>
      <c r="E360" s="3"/>
      <c r="F360" s="3"/>
      <c r="G360" s="3"/>
      <c r="H360" s="3"/>
      <c r="I360" s="6"/>
      <c r="J360" s="3"/>
      <c r="K360" s="7"/>
      <c r="L360" s="13" t="str">
        <f>IF(C360="","",IF(COUNTIFS(Parametry!$C$54:$C$113,E360)=1,INDEX(Parametry!$D$54:$D$113,MATCH(E360,Parametry!$C$54:$C$113,0)),""))</f>
        <v/>
      </c>
      <c r="M360" s="7">
        <f t="shared" si="15"/>
        <v>0</v>
      </c>
      <c r="N360" s="13">
        <f>IF(AND(ISNUMBER(D360),ISNUMBER(Parametry!$G$6)),IF(AND(YEAR(D360)=Parametry!$G$6,M360&lt;=Parametry!$G$7),1,0),0)</f>
        <v>0</v>
      </c>
      <c r="O360" s="13">
        <f>IF(C360="",IF(COUNTA(D360:J360)&gt;0,1,0),IF(OR(COUNTIFS($C$9:$C$1008,C360)&lt;&gt;1,NOT(ISNUMBER(D360)),NOT(ISNUMBER(I360)),L360="",AND(F360&lt;&gt;"",COUNTIFS(Umowy!$C$9:$C$108,F360,Umowy!$D$9:$D$108,L360)&lt;&gt;1)),1,0))</f>
        <v>0</v>
      </c>
      <c r="P360" s="7" t="str">
        <f t="shared" si="16"/>
        <v/>
      </c>
      <c r="Q360" s="7" t="str">
        <f t="shared" si="17"/>
        <v/>
      </c>
    </row>
    <row r="361" spans="1:17" ht="24" customHeight="1">
      <c r="A361" s="7"/>
      <c r="B361" s="7"/>
      <c r="C361" s="3"/>
      <c r="D361" s="2"/>
      <c r="E361" s="3"/>
      <c r="F361" s="3"/>
      <c r="G361" s="3"/>
      <c r="H361" s="3"/>
      <c r="I361" s="6"/>
      <c r="J361" s="3"/>
      <c r="K361" s="7"/>
      <c r="L361" s="13" t="str">
        <f>IF(C361="","",IF(COUNTIFS(Parametry!$C$54:$C$113,E361)=1,INDEX(Parametry!$D$54:$D$113,MATCH(E361,Parametry!$C$54:$C$113,0)),""))</f>
        <v/>
      </c>
      <c r="M361" s="7">
        <f t="shared" si="15"/>
        <v>0</v>
      </c>
      <c r="N361" s="13">
        <f>IF(AND(ISNUMBER(D361),ISNUMBER(Parametry!$G$6)),IF(AND(YEAR(D361)=Parametry!$G$6,M361&lt;=Parametry!$G$7),1,0),0)</f>
        <v>0</v>
      </c>
      <c r="O361" s="13">
        <f>IF(C361="",IF(COUNTA(D361:J361)&gt;0,1,0),IF(OR(COUNTIFS($C$9:$C$1008,C361)&lt;&gt;1,NOT(ISNUMBER(D361)),NOT(ISNUMBER(I361)),L361="",AND(F361&lt;&gt;"",COUNTIFS(Umowy!$C$9:$C$108,F361,Umowy!$D$9:$D$108,L361)&lt;&gt;1)),1,0))</f>
        <v>0</v>
      </c>
      <c r="P361" s="7" t="str">
        <f t="shared" si="16"/>
        <v/>
      </c>
      <c r="Q361" s="7" t="str">
        <f t="shared" si="17"/>
        <v/>
      </c>
    </row>
    <row r="362" spans="1:17" ht="24" customHeight="1">
      <c r="A362" s="7"/>
      <c r="B362" s="7"/>
      <c r="C362" s="3"/>
      <c r="D362" s="2"/>
      <c r="E362" s="3"/>
      <c r="F362" s="3"/>
      <c r="G362" s="3"/>
      <c r="H362" s="3"/>
      <c r="I362" s="6"/>
      <c r="J362" s="3"/>
      <c r="K362" s="7"/>
      <c r="L362" s="13" t="str">
        <f>IF(C362="","",IF(COUNTIFS(Parametry!$C$54:$C$113,E362)=1,INDEX(Parametry!$D$54:$D$113,MATCH(E362,Parametry!$C$54:$C$113,0)),""))</f>
        <v/>
      </c>
      <c r="M362" s="7">
        <f t="shared" si="15"/>
        <v>0</v>
      </c>
      <c r="N362" s="13">
        <f>IF(AND(ISNUMBER(D362),ISNUMBER(Parametry!$G$6)),IF(AND(YEAR(D362)=Parametry!$G$6,M362&lt;=Parametry!$G$7),1,0),0)</f>
        <v>0</v>
      </c>
      <c r="O362" s="13">
        <f>IF(C362="",IF(COUNTA(D362:J362)&gt;0,1,0),IF(OR(COUNTIFS($C$9:$C$1008,C362)&lt;&gt;1,NOT(ISNUMBER(D362)),NOT(ISNUMBER(I362)),L362="",AND(F362&lt;&gt;"",COUNTIFS(Umowy!$C$9:$C$108,F362,Umowy!$D$9:$D$108,L362)&lt;&gt;1)),1,0))</f>
        <v>0</v>
      </c>
      <c r="P362" s="7" t="str">
        <f t="shared" si="16"/>
        <v/>
      </c>
      <c r="Q362" s="7" t="str">
        <f t="shared" si="17"/>
        <v/>
      </c>
    </row>
    <row r="363" spans="1:17" ht="24" customHeight="1">
      <c r="A363" s="7"/>
      <c r="B363" s="7"/>
      <c r="C363" s="3"/>
      <c r="D363" s="2"/>
      <c r="E363" s="3"/>
      <c r="F363" s="3"/>
      <c r="G363" s="3"/>
      <c r="H363" s="3"/>
      <c r="I363" s="6"/>
      <c r="J363" s="3"/>
      <c r="K363" s="7"/>
      <c r="L363" s="13" t="str">
        <f>IF(C363="","",IF(COUNTIFS(Parametry!$C$54:$C$113,E363)=1,INDEX(Parametry!$D$54:$D$113,MATCH(E363,Parametry!$C$54:$C$113,0)),""))</f>
        <v/>
      </c>
      <c r="M363" s="7">
        <f t="shared" si="15"/>
        <v>0</v>
      </c>
      <c r="N363" s="13">
        <f>IF(AND(ISNUMBER(D363),ISNUMBER(Parametry!$G$6)),IF(AND(YEAR(D363)=Parametry!$G$6,M363&lt;=Parametry!$G$7),1,0),0)</f>
        <v>0</v>
      </c>
      <c r="O363" s="13">
        <f>IF(C363="",IF(COUNTA(D363:J363)&gt;0,1,0),IF(OR(COUNTIFS($C$9:$C$1008,C363)&lt;&gt;1,NOT(ISNUMBER(D363)),NOT(ISNUMBER(I363)),L363="",AND(F363&lt;&gt;"",COUNTIFS(Umowy!$C$9:$C$108,F363,Umowy!$D$9:$D$108,L363)&lt;&gt;1)),1,0))</f>
        <v>0</v>
      </c>
      <c r="P363" s="7" t="str">
        <f t="shared" si="16"/>
        <v/>
      </c>
      <c r="Q363" s="7" t="str">
        <f t="shared" si="17"/>
        <v/>
      </c>
    </row>
    <row r="364" spans="1:17" ht="24" customHeight="1">
      <c r="A364" s="7"/>
      <c r="B364" s="7"/>
      <c r="C364" s="3"/>
      <c r="D364" s="2"/>
      <c r="E364" s="3"/>
      <c r="F364" s="3"/>
      <c r="G364" s="3"/>
      <c r="H364" s="3"/>
      <c r="I364" s="6"/>
      <c r="J364" s="3"/>
      <c r="K364" s="7"/>
      <c r="L364" s="13" t="str">
        <f>IF(C364="","",IF(COUNTIFS(Parametry!$C$54:$C$113,E364)=1,INDEX(Parametry!$D$54:$D$113,MATCH(E364,Parametry!$C$54:$C$113,0)),""))</f>
        <v/>
      </c>
      <c r="M364" s="7">
        <f t="shared" si="15"/>
        <v>0</v>
      </c>
      <c r="N364" s="13">
        <f>IF(AND(ISNUMBER(D364),ISNUMBER(Parametry!$G$6)),IF(AND(YEAR(D364)=Parametry!$G$6,M364&lt;=Parametry!$G$7),1,0),0)</f>
        <v>0</v>
      </c>
      <c r="O364" s="13">
        <f>IF(C364="",IF(COUNTA(D364:J364)&gt;0,1,0),IF(OR(COUNTIFS($C$9:$C$1008,C364)&lt;&gt;1,NOT(ISNUMBER(D364)),NOT(ISNUMBER(I364)),L364="",AND(F364&lt;&gt;"",COUNTIFS(Umowy!$C$9:$C$108,F364,Umowy!$D$9:$D$108,L364)&lt;&gt;1)),1,0))</f>
        <v>0</v>
      </c>
      <c r="P364" s="7" t="str">
        <f t="shared" si="16"/>
        <v/>
      </c>
      <c r="Q364" s="7" t="str">
        <f t="shared" si="17"/>
        <v/>
      </c>
    </row>
    <row r="365" spans="1:17" ht="24" customHeight="1">
      <c r="A365" s="7"/>
      <c r="B365" s="7"/>
      <c r="C365" s="3"/>
      <c r="D365" s="2"/>
      <c r="E365" s="3"/>
      <c r="F365" s="3"/>
      <c r="G365" s="3"/>
      <c r="H365" s="3"/>
      <c r="I365" s="6"/>
      <c r="J365" s="3"/>
      <c r="K365" s="7"/>
      <c r="L365" s="13" t="str">
        <f>IF(C365="","",IF(COUNTIFS(Parametry!$C$54:$C$113,E365)=1,INDEX(Parametry!$D$54:$D$113,MATCH(E365,Parametry!$C$54:$C$113,0)),""))</f>
        <v/>
      </c>
      <c r="M365" s="7">
        <f t="shared" si="15"/>
        <v>0</v>
      </c>
      <c r="N365" s="13">
        <f>IF(AND(ISNUMBER(D365),ISNUMBER(Parametry!$G$6)),IF(AND(YEAR(D365)=Parametry!$G$6,M365&lt;=Parametry!$G$7),1,0),0)</f>
        <v>0</v>
      </c>
      <c r="O365" s="13">
        <f>IF(C365="",IF(COUNTA(D365:J365)&gt;0,1,0),IF(OR(COUNTIFS($C$9:$C$1008,C365)&lt;&gt;1,NOT(ISNUMBER(D365)),NOT(ISNUMBER(I365)),L365="",AND(F365&lt;&gt;"",COUNTIFS(Umowy!$C$9:$C$108,F365,Umowy!$D$9:$D$108,L365)&lt;&gt;1)),1,0))</f>
        <v>0</v>
      </c>
      <c r="P365" s="7" t="str">
        <f t="shared" si="16"/>
        <v/>
      </c>
      <c r="Q365" s="7" t="str">
        <f t="shared" si="17"/>
        <v/>
      </c>
    </row>
    <row r="366" spans="1:17" ht="24" customHeight="1">
      <c r="A366" s="7"/>
      <c r="B366" s="7"/>
      <c r="C366" s="3"/>
      <c r="D366" s="2"/>
      <c r="E366" s="3"/>
      <c r="F366" s="3"/>
      <c r="G366" s="3"/>
      <c r="H366" s="3"/>
      <c r="I366" s="6"/>
      <c r="J366" s="3"/>
      <c r="K366" s="7"/>
      <c r="L366" s="13" t="str">
        <f>IF(C366="","",IF(COUNTIFS(Parametry!$C$54:$C$113,E366)=1,INDEX(Parametry!$D$54:$D$113,MATCH(E366,Parametry!$C$54:$C$113,0)),""))</f>
        <v/>
      </c>
      <c r="M366" s="7">
        <f t="shared" si="15"/>
        <v>0</v>
      </c>
      <c r="N366" s="13">
        <f>IF(AND(ISNUMBER(D366),ISNUMBER(Parametry!$G$6)),IF(AND(YEAR(D366)=Parametry!$G$6,M366&lt;=Parametry!$G$7),1,0),0)</f>
        <v>0</v>
      </c>
      <c r="O366" s="13">
        <f>IF(C366="",IF(COUNTA(D366:J366)&gt;0,1,0),IF(OR(COUNTIFS($C$9:$C$1008,C366)&lt;&gt;1,NOT(ISNUMBER(D366)),NOT(ISNUMBER(I366)),L366="",AND(F366&lt;&gt;"",COUNTIFS(Umowy!$C$9:$C$108,F366,Umowy!$D$9:$D$108,L366)&lt;&gt;1)),1,0))</f>
        <v>0</v>
      </c>
      <c r="P366" s="7" t="str">
        <f t="shared" si="16"/>
        <v/>
      </c>
      <c r="Q366" s="7" t="str">
        <f t="shared" si="17"/>
        <v/>
      </c>
    </row>
    <row r="367" spans="1:17" ht="24" customHeight="1">
      <c r="A367" s="7"/>
      <c r="B367" s="7"/>
      <c r="C367" s="3"/>
      <c r="D367" s="2"/>
      <c r="E367" s="3"/>
      <c r="F367" s="3"/>
      <c r="G367" s="3"/>
      <c r="H367" s="3"/>
      <c r="I367" s="6"/>
      <c r="J367" s="3"/>
      <c r="K367" s="7"/>
      <c r="L367" s="13" t="str">
        <f>IF(C367="","",IF(COUNTIFS(Parametry!$C$54:$C$113,E367)=1,INDEX(Parametry!$D$54:$D$113,MATCH(E367,Parametry!$C$54:$C$113,0)),""))</f>
        <v/>
      </c>
      <c r="M367" s="7">
        <f t="shared" si="15"/>
        <v>0</v>
      </c>
      <c r="N367" s="13">
        <f>IF(AND(ISNUMBER(D367),ISNUMBER(Parametry!$G$6)),IF(AND(YEAR(D367)=Parametry!$G$6,M367&lt;=Parametry!$G$7),1,0),0)</f>
        <v>0</v>
      </c>
      <c r="O367" s="13">
        <f>IF(C367="",IF(COUNTA(D367:J367)&gt;0,1,0),IF(OR(COUNTIFS($C$9:$C$1008,C367)&lt;&gt;1,NOT(ISNUMBER(D367)),NOT(ISNUMBER(I367)),L367="",AND(F367&lt;&gt;"",COUNTIFS(Umowy!$C$9:$C$108,F367,Umowy!$D$9:$D$108,L367)&lt;&gt;1)),1,0))</f>
        <v>0</v>
      </c>
      <c r="P367" s="7" t="str">
        <f t="shared" si="16"/>
        <v/>
      </c>
      <c r="Q367" s="7" t="str">
        <f t="shared" si="17"/>
        <v/>
      </c>
    </row>
    <row r="368" spans="1:17" ht="24" customHeight="1">
      <c r="A368" s="7"/>
      <c r="B368" s="7"/>
      <c r="C368" s="3"/>
      <c r="D368" s="2"/>
      <c r="E368" s="3"/>
      <c r="F368" s="3"/>
      <c r="G368" s="3"/>
      <c r="H368" s="3"/>
      <c r="I368" s="6"/>
      <c r="J368" s="3"/>
      <c r="K368" s="7"/>
      <c r="L368" s="13" t="str">
        <f>IF(C368="","",IF(COUNTIFS(Parametry!$C$54:$C$113,E368)=1,INDEX(Parametry!$D$54:$D$113,MATCH(E368,Parametry!$C$54:$C$113,0)),""))</f>
        <v/>
      </c>
      <c r="M368" s="7">
        <f t="shared" si="15"/>
        <v>0</v>
      </c>
      <c r="N368" s="13">
        <f>IF(AND(ISNUMBER(D368),ISNUMBER(Parametry!$G$6)),IF(AND(YEAR(D368)=Parametry!$G$6,M368&lt;=Parametry!$G$7),1,0),0)</f>
        <v>0</v>
      </c>
      <c r="O368" s="13">
        <f>IF(C368="",IF(COUNTA(D368:J368)&gt;0,1,0),IF(OR(COUNTIFS($C$9:$C$1008,C368)&lt;&gt;1,NOT(ISNUMBER(D368)),NOT(ISNUMBER(I368)),L368="",AND(F368&lt;&gt;"",COUNTIFS(Umowy!$C$9:$C$108,F368,Umowy!$D$9:$D$108,L368)&lt;&gt;1)),1,0))</f>
        <v>0</v>
      </c>
      <c r="P368" s="7" t="str">
        <f t="shared" si="16"/>
        <v/>
      </c>
      <c r="Q368" s="7" t="str">
        <f t="shared" si="17"/>
        <v/>
      </c>
    </row>
    <row r="369" spans="1:17" ht="24" customHeight="1">
      <c r="A369" s="7"/>
      <c r="B369" s="7"/>
      <c r="C369" s="3"/>
      <c r="D369" s="2"/>
      <c r="E369" s="3"/>
      <c r="F369" s="3"/>
      <c r="G369" s="3"/>
      <c r="H369" s="3"/>
      <c r="I369" s="6"/>
      <c r="J369" s="3"/>
      <c r="K369" s="7"/>
      <c r="L369" s="13" t="str">
        <f>IF(C369="","",IF(COUNTIFS(Parametry!$C$54:$C$113,E369)=1,INDEX(Parametry!$D$54:$D$113,MATCH(E369,Parametry!$C$54:$C$113,0)),""))</f>
        <v/>
      </c>
      <c r="M369" s="7">
        <f t="shared" si="15"/>
        <v>0</v>
      </c>
      <c r="N369" s="13">
        <f>IF(AND(ISNUMBER(D369),ISNUMBER(Parametry!$G$6)),IF(AND(YEAR(D369)=Parametry!$G$6,M369&lt;=Parametry!$G$7),1,0),0)</f>
        <v>0</v>
      </c>
      <c r="O369" s="13">
        <f>IF(C369="",IF(COUNTA(D369:J369)&gt;0,1,0),IF(OR(COUNTIFS($C$9:$C$1008,C369)&lt;&gt;1,NOT(ISNUMBER(D369)),NOT(ISNUMBER(I369)),L369="",AND(F369&lt;&gt;"",COUNTIFS(Umowy!$C$9:$C$108,F369,Umowy!$D$9:$D$108,L369)&lt;&gt;1)),1,0))</f>
        <v>0</v>
      </c>
      <c r="P369" s="7" t="str">
        <f t="shared" si="16"/>
        <v/>
      </c>
      <c r="Q369" s="7" t="str">
        <f t="shared" si="17"/>
        <v/>
      </c>
    </row>
    <row r="370" spans="1:17" ht="24" customHeight="1">
      <c r="A370" s="7"/>
      <c r="B370" s="7"/>
      <c r="C370" s="3"/>
      <c r="D370" s="2"/>
      <c r="E370" s="3"/>
      <c r="F370" s="3"/>
      <c r="G370" s="3"/>
      <c r="H370" s="3"/>
      <c r="I370" s="6"/>
      <c r="J370" s="3"/>
      <c r="K370" s="7"/>
      <c r="L370" s="13" t="str">
        <f>IF(C370="","",IF(COUNTIFS(Parametry!$C$54:$C$113,E370)=1,INDEX(Parametry!$D$54:$D$113,MATCH(E370,Parametry!$C$54:$C$113,0)),""))</f>
        <v/>
      </c>
      <c r="M370" s="7">
        <f t="shared" si="15"/>
        <v>0</v>
      </c>
      <c r="N370" s="13">
        <f>IF(AND(ISNUMBER(D370),ISNUMBER(Parametry!$G$6)),IF(AND(YEAR(D370)=Parametry!$G$6,M370&lt;=Parametry!$G$7),1,0),0)</f>
        <v>0</v>
      </c>
      <c r="O370" s="13">
        <f>IF(C370="",IF(COUNTA(D370:J370)&gt;0,1,0),IF(OR(COUNTIFS($C$9:$C$1008,C370)&lt;&gt;1,NOT(ISNUMBER(D370)),NOT(ISNUMBER(I370)),L370="",AND(F370&lt;&gt;"",COUNTIFS(Umowy!$C$9:$C$108,F370,Umowy!$D$9:$D$108,L370)&lt;&gt;1)),1,0))</f>
        <v>0</v>
      </c>
      <c r="P370" s="7" t="str">
        <f t="shared" si="16"/>
        <v/>
      </c>
      <c r="Q370" s="7" t="str">
        <f t="shared" si="17"/>
        <v/>
      </c>
    </row>
    <row r="371" spans="1:17" ht="24" customHeight="1">
      <c r="A371" s="7"/>
      <c r="B371" s="7"/>
      <c r="C371" s="3"/>
      <c r="D371" s="2"/>
      <c r="E371" s="3"/>
      <c r="F371" s="3"/>
      <c r="G371" s="3"/>
      <c r="H371" s="3"/>
      <c r="I371" s="6"/>
      <c r="J371" s="3"/>
      <c r="K371" s="7"/>
      <c r="L371" s="13" t="str">
        <f>IF(C371="","",IF(COUNTIFS(Parametry!$C$54:$C$113,E371)=1,INDEX(Parametry!$D$54:$D$113,MATCH(E371,Parametry!$C$54:$C$113,0)),""))</f>
        <v/>
      </c>
      <c r="M371" s="7">
        <f t="shared" si="15"/>
        <v>0</v>
      </c>
      <c r="N371" s="13">
        <f>IF(AND(ISNUMBER(D371),ISNUMBER(Parametry!$G$6)),IF(AND(YEAR(D371)=Parametry!$G$6,M371&lt;=Parametry!$G$7),1,0),0)</f>
        <v>0</v>
      </c>
      <c r="O371" s="13">
        <f>IF(C371="",IF(COUNTA(D371:J371)&gt;0,1,0),IF(OR(COUNTIFS($C$9:$C$1008,C371)&lt;&gt;1,NOT(ISNUMBER(D371)),NOT(ISNUMBER(I371)),L371="",AND(F371&lt;&gt;"",COUNTIFS(Umowy!$C$9:$C$108,F371,Umowy!$D$9:$D$108,L371)&lt;&gt;1)),1,0))</f>
        <v>0</v>
      </c>
      <c r="P371" s="7" t="str">
        <f t="shared" si="16"/>
        <v/>
      </c>
      <c r="Q371" s="7" t="str">
        <f t="shared" si="17"/>
        <v/>
      </c>
    </row>
    <row r="372" spans="1:17" ht="24" customHeight="1">
      <c r="A372" s="7"/>
      <c r="B372" s="7"/>
      <c r="C372" s="3"/>
      <c r="D372" s="2"/>
      <c r="E372" s="3"/>
      <c r="F372" s="3"/>
      <c r="G372" s="3"/>
      <c r="H372" s="3"/>
      <c r="I372" s="6"/>
      <c r="J372" s="3"/>
      <c r="K372" s="7"/>
      <c r="L372" s="13" t="str">
        <f>IF(C372="","",IF(COUNTIFS(Parametry!$C$54:$C$113,E372)=1,INDEX(Parametry!$D$54:$D$113,MATCH(E372,Parametry!$C$54:$C$113,0)),""))</f>
        <v/>
      </c>
      <c r="M372" s="7">
        <f t="shared" si="15"/>
        <v>0</v>
      </c>
      <c r="N372" s="13">
        <f>IF(AND(ISNUMBER(D372),ISNUMBER(Parametry!$G$6)),IF(AND(YEAR(D372)=Parametry!$G$6,M372&lt;=Parametry!$G$7),1,0),0)</f>
        <v>0</v>
      </c>
      <c r="O372" s="13">
        <f>IF(C372="",IF(COUNTA(D372:J372)&gt;0,1,0),IF(OR(COUNTIFS($C$9:$C$1008,C372)&lt;&gt;1,NOT(ISNUMBER(D372)),NOT(ISNUMBER(I372)),L372="",AND(F372&lt;&gt;"",COUNTIFS(Umowy!$C$9:$C$108,F372,Umowy!$D$9:$D$108,L372)&lt;&gt;1)),1,0))</f>
        <v>0</v>
      </c>
      <c r="P372" s="7" t="str">
        <f t="shared" si="16"/>
        <v/>
      </c>
      <c r="Q372" s="7" t="str">
        <f t="shared" si="17"/>
        <v/>
      </c>
    </row>
    <row r="373" spans="1:17" ht="24" customHeight="1">
      <c r="A373" s="7"/>
      <c r="B373" s="7"/>
      <c r="C373" s="3"/>
      <c r="D373" s="2"/>
      <c r="E373" s="3"/>
      <c r="F373" s="3"/>
      <c r="G373" s="3"/>
      <c r="H373" s="3"/>
      <c r="I373" s="6"/>
      <c r="J373" s="3"/>
      <c r="K373" s="7"/>
      <c r="L373" s="13" t="str">
        <f>IF(C373="","",IF(COUNTIFS(Parametry!$C$54:$C$113,E373)=1,INDEX(Parametry!$D$54:$D$113,MATCH(E373,Parametry!$C$54:$C$113,0)),""))</f>
        <v/>
      </c>
      <c r="M373" s="7">
        <f t="shared" si="15"/>
        <v>0</v>
      </c>
      <c r="N373" s="13">
        <f>IF(AND(ISNUMBER(D373),ISNUMBER(Parametry!$G$6)),IF(AND(YEAR(D373)=Parametry!$G$6,M373&lt;=Parametry!$G$7),1,0),0)</f>
        <v>0</v>
      </c>
      <c r="O373" s="13">
        <f>IF(C373="",IF(COUNTA(D373:J373)&gt;0,1,0),IF(OR(COUNTIFS($C$9:$C$1008,C373)&lt;&gt;1,NOT(ISNUMBER(D373)),NOT(ISNUMBER(I373)),L373="",AND(F373&lt;&gt;"",COUNTIFS(Umowy!$C$9:$C$108,F373,Umowy!$D$9:$D$108,L373)&lt;&gt;1)),1,0))</f>
        <v>0</v>
      </c>
      <c r="P373" s="7" t="str">
        <f t="shared" si="16"/>
        <v/>
      </c>
      <c r="Q373" s="7" t="str">
        <f t="shared" si="17"/>
        <v/>
      </c>
    </row>
    <row r="374" spans="1:17" ht="24" customHeight="1">
      <c r="A374" s="7"/>
      <c r="B374" s="7"/>
      <c r="C374" s="3"/>
      <c r="D374" s="2"/>
      <c r="E374" s="3"/>
      <c r="F374" s="3"/>
      <c r="G374" s="3"/>
      <c r="H374" s="3"/>
      <c r="I374" s="6"/>
      <c r="J374" s="3"/>
      <c r="K374" s="7"/>
      <c r="L374" s="13" t="str">
        <f>IF(C374="","",IF(COUNTIFS(Parametry!$C$54:$C$113,E374)=1,INDEX(Parametry!$D$54:$D$113,MATCH(E374,Parametry!$C$54:$C$113,0)),""))</f>
        <v/>
      </c>
      <c r="M374" s="7">
        <f t="shared" si="15"/>
        <v>0</v>
      </c>
      <c r="N374" s="13">
        <f>IF(AND(ISNUMBER(D374),ISNUMBER(Parametry!$G$6)),IF(AND(YEAR(D374)=Parametry!$G$6,M374&lt;=Parametry!$G$7),1,0),0)</f>
        <v>0</v>
      </c>
      <c r="O374" s="13">
        <f>IF(C374="",IF(COUNTA(D374:J374)&gt;0,1,0),IF(OR(COUNTIFS($C$9:$C$1008,C374)&lt;&gt;1,NOT(ISNUMBER(D374)),NOT(ISNUMBER(I374)),L374="",AND(F374&lt;&gt;"",COUNTIFS(Umowy!$C$9:$C$108,F374,Umowy!$D$9:$D$108,L374)&lt;&gt;1)),1,0))</f>
        <v>0</v>
      </c>
      <c r="P374" s="7" t="str">
        <f t="shared" si="16"/>
        <v/>
      </c>
      <c r="Q374" s="7" t="str">
        <f t="shared" si="17"/>
        <v/>
      </c>
    </row>
    <row r="375" spans="1:17" ht="24" customHeight="1">
      <c r="A375" s="7"/>
      <c r="B375" s="7"/>
      <c r="C375" s="3"/>
      <c r="D375" s="2"/>
      <c r="E375" s="3"/>
      <c r="F375" s="3"/>
      <c r="G375" s="3"/>
      <c r="H375" s="3"/>
      <c r="I375" s="6"/>
      <c r="J375" s="3"/>
      <c r="K375" s="7"/>
      <c r="L375" s="13" t="str">
        <f>IF(C375="","",IF(COUNTIFS(Parametry!$C$54:$C$113,E375)=1,INDEX(Parametry!$D$54:$D$113,MATCH(E375,Parametry!$C$54:$C$113,0)),""))</f>
        <v/>
      </c>
      <c r="M375" s="7">
        <f t="shared" si="15"/>
        <v>0</v>
      </c>
      <c r="N375" s="13">
        <f>IF(AND(ISNUMBER(D375),ISNUMBER(Parametry!$G$6)),IF(AND(YEAR(D375)=Parametry!$G$6,M375&lt;=Parametry!$G$7),1,0),0)</f>
        <v>0</v>
      </c>
      <c r="O375" s="13">
        <f>IF(C375="",IF(COUNTA(D375:J375)&gt;0,1,0),IF(OR(COUNTIFS($C$9:$C$1008,C375)&lt;&gt;1,NOT(ISNUMBER(D375)),NOT(ISNUMBER(I375)),L375="",AND(F375&lt;&gt;"",COUNTIFS(Umowy!$C$9:$C$108,F375,Umowy!$D$9:$D$108,L375)&lt;&gt;1)),1,0))</f>
        <v>0</v>
      </c>
      <c r="P375" s="7" t="str">
        <f t="shared" si="16"/>
        <v/>
      </c>
      <c r="Q375" s="7" t="str">
        <f t="shared" si="17"/>
        <v/>
      </c>
    </row>
    <row r="376" spans="1:17" ht="24" customHeight="1">
      <c r="A376" s="7"/>
      <c r="B376" s="7"/>
      <c r="C376" s="3"/>
      <c r="D376" s="2"/>
      <c r="E376" s="3"/>
      <c r="F376" s="3"/>
      <c r="G376" s="3"/>
      <c r="H376" s="3"/>
      <c r="I376" s="6"/>
      <c r="J376" s="3"/>
      <c r="K376" s="7"/>
      <c r="L376" s="13" t="str">
        <f>IF(C376="","",IF(COUNTIFS(Parametry!$C$54:$C$113,E376)=1,INDEX(Parametry!$D$54:$D$113,MATCH(E376,Parametry!$C$54:$C$113,0)),""))</f>
        <v/>
      </c>
      <c r="M376" s="7">
        <f t="shared" si="15"/>
        <v>0</v>
      </c>
      <c r="N376" s="13">
        <f>IF(AND(ISNUMBER(D376),ISNUMBER(Parametry!$G$6)),IF(AND(YEAR(D376)=Parametry!$G$6,M376&lt;=Parametry!$G$7),1,0),0)</f>
        <v>0</v>
      </c>
      <c r="O376" s="13">
        <f>IF(C376="",IF(COUNTA(D376:J376)&gt;0,1,0),IF(OR(COUNTIFS($C$9:$C$1008,C376)&lt;&gt;1,NOT(ISNUMBER(D376)),NOT(ISNUMBER(I376)),L376="",AND(F376&lt;&gt;"",COUNTIFS(Umowy!$C$9:$C$108,F376,Umowy!$D$9:$D$108,L376)&lt;&gt;1)),1,0))</f>
        <v>0</v>
      </c>
      <c r="P376" s="7" t="str">
        <f t="shared" si="16"/>
        <v/>
      </c>
      <c r="Q376" s="7" t="str">
        <f t="shared" si="17"/>
        <v/>
      </c>
    </row>
    <row r="377" spans="1:17" ht="24" customHeight="1">
      <c r="A377" s="7"/>
      <c r="B377" s="7"/>
      <c r="C377" s="3"/>
      <c r="D377" s="2"/>
      <c r="E377" s="3"/>
      <c r="F377" s="3"/>
      <c r="G377" s="3"/>
      <c r="H377" s="3"/>
      <c r="I377" s="6"/>
      <c r="J377" s="3"/>
      <c r="K377" s="7"/>
      <c r="L377" s="13" t="str">
        <f>IF(C377="","",IF(COUNTIFS(Parametry!$C$54:$C$113,E377)=1,INDEX(Parametry!$D$54:$D$113,MATCH(E377,Parametry!$C$54:$C$113,0)),""))</f>
        <v/>
      </c>
      <c r="M377" s="7">
        <f t="shared" si="15"/>
        <v>0</v>
      </c>
      <c r="N377" s="13">
        <f>IF(AND(ISNUMBER(D377),ISNUMBER(Parametry!$G$6)),IF(AND(YEAR(D377)=Parametry!$G$6,M377&lt;=Parametry!$G$7),1,0),0)</f>
        <v>0</v>
      </c>
      <c r="O377" s="13">
        <f>IF(C377="",IF(COUNTA(D377:J377)&gt;0,1,0),IF(OR(COUNTIFS($C$9:$C$1008,C377)&lt;&gt;1,NOT(ISNUMBER(D377)),NOT(ISNUMBER(I377)),L377="",AND(F377&lt;&gt;"",COUNTIFS(Umowy!$C$9:$C$108,F377,Umowy!$D$9:$D$108,L377)&lt;&gt;1)),1,0))</f>
        <v>0</v>
      </c>
      <c r="P377" s="7" t="str">
        <f t="shared" si="16"/>
        <v/>
      </c>
      <c r="Q377" s="7" t="str">
        <f t="shared" si="17"/>
        <v/>
      </c>
    </row>
    <row r="378" spans="1:17" ht="24" customHeight="1">
      <c r="A378" s="7"/>
      <c r="B378" s="7"/>
      <c r="C378" s="3"/>
      <c r="D378" s="2"/>
      <c r="E378" s="3"/>
      <c r="F378" s="3"/>
      <c r="G378" s="3"/>
      <c r="H378" s="3"/>
      <c r="I378" s="6"/>
      <c r="J378" s="3"/>
      <c r="K378" s="7"/>
      <c r="L378" s="13" t="str">
        <f>IF(C378="","",IF(COUNTIFS(Parametry!$C$54:$C$113,E378)=1,INDEX(Parametry!$D$54:$D$113,MATCH(E378,Parametry!$C$54:$C$113,0)),""))</f>
        <v/>
      </c>
      <c r="M378" s="7">
        <f t="shared" si="15"/>
        <v>0</v>
      </c>
      <c r="N378" s="13">
        <f>IF(AND(ISNUMBER(D378),ISNUMBER(Parametry!$G$6)),IF(AND(YEAR(D378)=Parametry!$G$6,M378&lt;=Parametry!$G$7),1,0),0)</f>
        <v>0</v>
      </c>
      <c r="O378" s="13">
        <f>IF(C378="",IF(COUNTA(D378:J378)&gt;0,1,0),IF(OR(COUNTIFS($C$9:$C$1008,C378)&lt;&gt;1,NOT(ISNUMBER(D378)),NOT(ISNUMBER(I378)),L378="",AND(F378&lt;&gt;"",COUNTIFS(Umowy!$C$9:$C$108,F378,Umowy!$D$9:$D$108,L378)&lt;&gt;1)),1,0))</f>
        <v>0</v>
      </c>
      <c r="P378" s="7" t="str">
        <f t="shared" si="16"/>
        <v/>
      </c>
      <c r="Q378" s="7" t="str">
        <f t="shared" si="17"/>
        <v/>
      </c>
    </row>
    <row r="379" spans="1:17" ht="24" customHeight="1">
      <c r="A379" s="7"/>
      <c r="B379" s="7"/>
      <c r="C379" s="3"/>
      <c r="D379" s="2"/>
      <c r="E379" s="3"/>
      <c r="F379" s="3"/>
      <c r="G379" s="3"/>
      <c r="H379" s="3"/>
      <c r="I379" s="6"/>
      <c r="J379" s="3"/>
      <c r="K379" s="7"/>
      <c r="L379" s="13" t="str">
        <f>IF(C379="","",IF(COUNTIFS(Parametry!$C$54:$C$113,E379)=1,INDEX(Parametry!$D$54:$D$113,MATCH(E379,Parametry!$C$54:$C$113,0)),""))</f>
        <v/>
      </c>
      <c r="M379" s="7">
        <f t="shared" si="15"/>
        <v>0</v>
      </c>
      <c r="N379" s="13">
        <f>IF(AND(ISNUMBER(D379),ISNUMBER(Parametry!$G$6)),IF(AND(YEAR(D379)=Parametry!$G$6,M379&lt;=Parametry!$G$7),1,0),0)</f>
        <v>0</v>
      </c>
      <c r="O379" s="13">
        <f>IF(C379="",IF(COUNTA(D379:J379)&gt;0,1,0),IF(OR(COUNTIFS($C$9:$C$1008,C379)&lt;&gt;1,NOT(ISNUMBER(D379)),NOT(ISNUMBER(I379)),L379="",AND(F379&lt;&gt;"",COUNTIFS(Umowy!$C$9:$C$108,F379,Umowy!$D$9:$D$108,L379)&lt;&gt;1)),1,0))</f>
        <v>0</v>
      </c>
      <c r="P379" s="7" t="str">
        <f t="shared" si="16"/>
        <v/>
      </c>
      <c r="Q379" s="7" t="str">
        <f t="shared" si="17"/>
        <v/>
      </c>
    </row>
    <row r="380" spans="1:17" ht="24" customHeight="1">
      <c r="A380" s="7"/>
      <c r="B380" s="7"/>
      <c r="C380" s="3"/>
      <c r="D380" s="2"/>
      <c r="E380" s="3"/>
      <c r="F380" s="3"/>
      <c r="G380" s="3"/>
      <c r="H380" s="3"/>
      <c r="I380" s="6"/>
      <c r="J380" s="3"/>
      <c r="K380" s="7"/>
      <c r="L380" s="13" t="str">
        <f>IF(C380="","",IF(COUNTIFS(Parametry!$C$54:$C$113,E380)=1,INDEX(Parametry!$D$54:$D$113,MATCH(E380,Parametry!$C$54:$C$113,0)),""))</f>
        <v/>
      </c>
      <c r="M380" s="7">
        <f t="shared" si="15"/>
        <v>0</v>
      </c>
      <c r="N380" s="13">
        <f>IF(AND(ISNUMBER(D380),ISNUMBER(Parametry!$G$6)),IF(AND(YEAR(D380)=Parametry!$G$6,M380&lt;=Parametry!$G$7),1,0),0)</f>
        <v>0</v>
      </c>
      <c r="O380" s="13">
        <f>IF(C380="",IF(COUNTA(D380:J380)&gt;0,1,0),IF(OR(COUNTIFS($C$9:$C$1008,C380)&lt;&gt;1,NOT(ISNUMBER(D380)),NOT(ISNUMBER(I380)),L380="",AND(F380&lt;&gt;"",COUNTIFS(Umowy!$C$9:$C$108,F380,Umowy!$D$9:$D$108,L380)&lt;&gt;1)),1,0))</f>
        <v>0</v>
      </c>
      <c r="P380" s="7" t="str">
        <f t="shared" si="16"/>
        <v/>
      </c>
      <c r="Q380" s="7" t="str">
        <f t="shared" si="17"/>
        <v/>
      </c>
    </row>
    <row r="381" spans="1:17" ht="24" customHeight="1">
      <c r="A381" s="7"/>
      <c r="B381" s="7"/>
      <c r="C381" s="3"/>
      <c r="D381" s="2"/>
      <c r="E381" s="3"/>
      <c r="F381" s="3"/>
      <c r="G381" s="3"/>
      <c r="H381" s="3"/>
      <c r="I381" s="6"/>
      <c r="J381" s="3"/>
      <c r="K381" s="7"/>
      <c r="L381" s="13" t="str">
        <f>IF(C381="","",IF(COUNTIFS(Parametry!$C$54:$C$113,E381)=1,INDEX(Parametry!$D$54:$D$113,MATCH(E381,Parametry!$C$54:$C$113,0)),""))</f>
        <v/>
      </c>
      <c r="M381" s="7">
        <f t="shared" si="15"/>
        <v>0</v>
      </c>
      <c r="N381" s="13">
        <f>IF(AND(ISNUMBER(D381),ISNUMBER(Parametry!$G$6)),IF(AND(YEAR(D381)=Parametry!$G$6,M381&lt;=Parametry!$G$7),1,0),0)</f>
        <v>0</v>
      </c>
      <c r="O381" s="13">
        <f>IF(C381="",IF(COUNTA(D381:J381)&gt;0,1,0),IF(OR(COUNTIFS($C$9:$C$1008,C381)&lt;&gt;1,NOT(ISNUMBER(D381)),NOT(ISNUMBER(I381)),L381="",AND(F381&lt;&gt;"",COUNTIFS(Umowy!$C$9:$C$108,F381,Umowy!$D$9:$D$108,L381)&lt;&gt;1)),1,0))</f>
        <v>0</v>
      </c>
      <c r="P381" s="7" t="str">
        <f t="shared" si="16"/>
        <v/>
      </c>
      <c r="Q381" s="7" t="str">
        <f t="shared" si="17"/>
        <v/>
      </c>
    </row>
    <row r="382" spans="1:17" ht="24" customHeight="1">
      <c r="A382" s="7"/>
      <c r="B382" s="7"/>
      <c r="C382" s="3"/>
      <c r="D382" s="2"/>
      <c r="E382" s="3"/>
      <c r="F382" s="3"/>
      <c r="G382" s="3"/>
      <c r="H382" s="3"/>
      <c r="I382" s="6"/>
      <c r="J382" s="3"/>
      <c r="K382" s="7"/>
      <c r="L382" s="13" t="str">
        <f>IF(C382="","",IF(COUNTIFS(Parametry!$C$54:$C$113,E382)=1,INDEX(Parametry!$D$54:$D$113,MATCH(E382,Parametry!$C$54:$C$113,0)),""))</f>
        <v/>
      </c>
      <c r="M382" s="7">
        <f t="shared" si="15"/>
        <v>0</v>
      </c>
      <c r="N382" s="13">
        <f>IF(AND(ISNUMBER(D382),ISNUMBER(Parametry!$G$6)),IF(AND(YEAR(D382)=Parametry!$G$6,M382&lt;=Parametry!$G$7),1,0),0)</f>
        <v>0</v>
      </c>
      <c r="O382" s="13">
        <f>IF(C382="",IF(COUNTA(D382:J382)&gt;0,1,0),IF(OR(COUNTIFS($C$9:$C$1008,C382)&lt;&gt;1,NOT(ISNUMBER(D382)),NOT(ISNUMBER(I382)),L382="",AND(F382&lt;&gt;"",COUNTIFS(Umowy!$C$9:$C$108,F382,Umowy!$D$9:$D$108,L382)&lt;&gt;1)),1,0))</f>
        <v>0</v>
      </c>
      <c r="P382" s="7" t="str">
        <f t="shared" si="16"/>
        <v/>
      </c>
      <c r="Q382" s="7" t="str">
        <f t="shared" si="17"/>
        <v/>
      </c>
    </row>
    <row r="383" spans="1:17" ht="24" customHeight="1">
      <c r="A383" s="7"/>
      <c r="B383" s="7"/>
      <c r="C383" s="3"/>
      <c r="D383" s="2"/>
      <c r="E383" s="3"/>
      <c r="F383" s="3"/>
      <c r="G383" s="3"/>
      <c r="H383" s="3"/>
      <c r="I383" s="6"/>
      <c r="J383" s="3"/>
      <c r="K383" s="7"/>
      <c r="L383" s="13" t="str">
        <f>IF(C383="","",IF(COUNTIFS(Parametry!$C$54:$C$113,E383)=1,INDEX(Parametry!$D$54:$D$113,MATCH(E383,Parametry!$C$54:$C$113,0)),""))</f>
        <v/>
      </c>
      <c r="M383" s="7">
        <f t="shared" si="15"/>
        <v>0</v>
      </c>
      <c r="N383" s="13">
        <f>IF(AND(ISNUMBER(D383),ISNUMBER(Parametry!$G$6)),IF(AND(YEAR(D383)=Parametry!$G$6,M383&lt;=Parametry!$G$7),1,0),0)</f>
        <v>0</v>
      </c>
      <c r="O383" s="13">
        <f>IF(C383="",IF(COUNTA(D383:J383)&gt;0,1,0),IF(OR(COUNTIFS($C$9:$C$1008,C383)&lt;&gt;1,NOT(ISNUMBER(D383)),NOT(ISNUMBER(I383)),L383="",AND(F383&lt;&gt;"",COUNTIFS(Umowy!$C$9:$C$108,F383,Umowy!$D$9:$D$108,L383)&lt;&gt;1)),1,0))</f>
        <v>0</v>
      </c>
      <c r="P383" s="7" t="str">
        <f t="shared" si="16"/>
        <v/>
      </c>
      <c r="Q383" s="7" t="str">
        <f t="shared" si="17"/>
        <v/>
      </c>
    </row>
    <row r="384" spans="1:17" ht="24" customHeight="1">
      <c r="A384" s="7"/>
      <c r="B384" s="7"/>
      <c r="C384" s="3"/>
      <c r="D384" s="2"/>
      <c r="E384" s="3"/>
      <c r="F384" s="3"/>
      <c r="G384" s="3"/>
      <c r="H384" s="3"/>
      <c r="I384" s="6"/>
      <c r="J384" s="3"/>
      <c r="K384" s="7"/>
      <c r="L384" s="13" t="str">
        <f>IF(C384="","",IF(COUNTIFS(Parametry!$C$54:$C$113,E384)=1,INDEX(Parametry!$D$54:$D$113,MATCH(E384,Parametry!$C$54:$C$113,0)),""))</f>
        <v/>
      </c>
      <c r="M384" s="7">
        <f t="shared" si="15"/>
        <v>0</v>
      </c>
      <c r="N384" s="13">
        <f>IF(AND(ISNUMBER(D384),ISNUMBER(Parametry!$G$6)),IF(AND(YEAR(D384)=Parametry!$G$6,M384&lt;=Parametry!$G$7),1,0),0)</f>
        <v>0</v>
      </c>
      <c r="O384" s="13">
        <f>IF(C384="",IF(COUNTA(D384:J384)&gt;0,1,0),IF(OR(COUNTIFS($C$9:$C$1008,C384)&lt;&gt;1,NOT(ISNUMBER(D384)),NOT(ISNUMBER(I384)),L384="",AND(F384&lt;&gt;"",COUNTIFS(Umowy!$C$9:$C$108,F384,Umowy!$D$9:$D$108,L384)&lt;&gt;1)),1,0))</f>
        <v>0</v>
      </c>
      <c r="P384" s="7" t="str">
        <f t="shared" si="16"/>
        <v/>
      </c>
      <c r="Q384" s="7" t="str">
        <f t="shared" si="17"/>
        <v/>
      </c>
    </row>
    <row r="385" spans="1:17" ht="24" customHeight="1">
      <c r="A385" s="7"/>
      <c r="B385" s="7"/>
      <c r="C385" s="3"/>
      <c r="D385" s="2"/>
      <c r="E385" s="3"/>
      <c r="F385" s="3"/>
      <c r="G385" s="3"/>
      <c r="H385" s="3"/>
      <c r="I385" s="6"/>
      <c r="J385" s="3"/>
      <c r="K385" s="7"/>
      <c r="L385" s="13" t="str">
        <f>IF(C385="","",IF(COUNTIFS(Parametry!$C$54:$C$113,E385)=1,INDEX(Parametry!$D$54:$D$113,MATCH(E385,Parametry!$C$54:$C$113,0)),""))</f>
        <v/>
      </c>
      <c r="M385" s="7">
        <f t="shared" si="15"/>
        <v>0</v>
      </c>
      <c r="N385" s="13">
        <f>IF(AND(ISNUMBER(D385),ISNUMBER(Parametry!$G$6)),IF(AND(YEAR(D385)=Parametry!$G$6,M385&lt;=Parametry!$G$7),1,0),0)</f>
        <v>0</v>
      </c>
      <c r="O385" s="13">
        <f>IF(C385="",IF(COUNTA(D385:J385)&gt;0,1,0),IF(OR(COUNTIFS($C$9:$C$1008,C385)&lt;&gt;1,NOT(ISNUMBER(D385)),NOT(ISNUMBER(I385)),L385="",AND(F385&lt;&gt;"",COUNTIFS(Umowy!$C$9:$C$108,F385,Umowy!$D$9:$D$108,L385)&lt;&gt;1)),1,0))</f>
        <v>0</v>
      </c>
      <c r="P385" s="7" t="str">
        <f t="shared" si="16"/>
        <v/>
      </c>
      <c r="Q385" s="7" t="str">
        <f t="shared" si="17"/>
        <v/>
      </c>
    </row>
    <row r="386" spans="1:17" ht="24" customHeight="1">
      <c r="A386" s="7"/>
      <c r="B386" s="7"/>
      <c r="C386" s="3"/>
      <c r="D386" s="2"/>
      <c r="E386" s="3"/>
      <c r="F386" s="3"/>
      <c r="G386" s="3"/>
      <c r="H386" s="3"/>
      <c r="I386" s="6"/>
      <c r="J386" s="3"/>
      <c r="K386" s="7"/>
      <c r="L386" s="13" t="str">
        <f>IF(C386="","",IF(COUNTIFS(Parametry!$C$54:$C$113,E386)=1,INDEX(Parametry!$D$54:$D$113,MATCH(E386,Parametry!$C$54:$C$113,0)),""))</f>
        <v/>
      </c>
      <c r="M386" s="7">
        <f t="shared" si="15"/>
        <v>0</v>
      </c>
      <c r="N386" s="13">
        <f>IF(AND(ISNUMBER(D386),ISNUMBER(Parametry!$G$6)),IF(AND(YEAR(D386)=Parametry!$G$6,M386&lt;=Parametry!$G$7),1,0),0)</f>
        <v>0</v>
      </c>
      <c r="O386" s="13">
        <f>IF(C386="",IF(COUNTA(D386:J386)&gt;0,1,0),IF(OR(COUNTIFS($C$9:$C$1008,C386)&lt;&gt;1,NOT(ISNUMBER(D386)),NOT(ISNUMBER(I386)),L386="",AND(F386&lt;&gt;"",COUNTIFS(Umowy!$C$9:$C$108,F386,Umowy!$D$9:$D$108,L386)&lt;&gt;1)),1,0))</f>
        <v>0</v>
      </c>
      <c r="P386" s="7" t="str">
        <f t="shared" si="16"/>
        <v/>
      </c>
      <c r="Q386" s="7" t="str">
        <f t="shared" si="17"/>
        <v/>
      </c>
    </row>
    <row r="387" spans="1:17" ht="24" customHeight="1">
      <c r="A387" s="7"/>
      <c r="B387" s="7"/>
      <c r="C387" s="3"/>
      <c r="D387" s="2"/>
      <c r="E387" s="3"/>
      <c r="F387" s="3"/>
      <c r="G387" s="3"/>
      <c r="H387" s="3"/>
      <c r="I387" s="6"/>
      <c r="J387" s="3"/>
      <c r="K387" s="7"/>
      <c r="L387" s="13" t="str">
        <f>IF(C387="","",IF(COUNTIFS(Parametry!$C$54:$C$113,E387)=1,INDEX(Parametry!$D$54:$D$113,MATCH(E387,Parametry!$C$54:$C$113,0)),""))</f>
        <v/>
      </c>
      <c r="M387" s="7">
        <f t="shared" si="15"/>
        <v>0</v>
      </c>
      <c r="N387" s="13">
        <f>IF(AND(ISNUMBER(D387),ISNUMBER(Parametry!$G$6)),IF(AND(YEAR(D387)=Parametry!$G$6,M387&lt;=Parametry!$G$7),1,0),0)</f>
        <v>0</v>
      </c>
      <c r="O387" s="13">
        <f>IF(C387="",IF(COUNTA(D387:J387)&gt;0,1,0),IF(OR(COUNTIFS($C$9:$C$1008,C387)&lt;&gt;1,NOT(ISNUMBER(D387)),NOT(ISNUMBER(I387)),L387="",AND(F387&lt;&gt;"",COUNTIFS(Umowy!$C$9:$C$108,F387,Umowy!$D$9:$D$108,L387)&lt;&gt;1)),1,0))</f>
        <v>0</v>
      </c>
      <c r="P387" s="7" t="str">
        <f t="shared" si="16"/>
        <v/>
      </c>
      <c r="Q387" s="7" t="str">
        <f t="shared" si="17"/>
        <v/>
      </c>
    </row>
    <row r="388" spans="1:17" ht="24" customHeight="1">
      <c r="A388" s="7"/>
      <c r="B388" s="7"/>
      <c r="C388" s="3"/>
      <c r="D388" s="2"/>
      <c r="E388" s="3"/>
      <c r="F388" s="3"/>
      <c r="G388" s="3"/>
      <c r="H388" s="3"/>
      <c r="I388" s="6"/>
      <c r="J388" s="3"/>
      <c r="K388" s="7"/>
      <c r="L388" s="13" t="str">
        <f>IF(C388="","",IF(COUNTIFS(Parametry!$C$54:$C$113,E388)=1,INDEX(Parametry!$D$54:$D$113,MATCH(E388,Parametry!$C$54:$C$113,0)),""))</f>
        <v/>
      </c>
      <c r="M388" s="7">
        <f t="shared" si="15"/>
        <v>0</v>
      </c>
      <c r="N388" s="13">
        <f>IF(AND(ISNUMBER(D388),ISNUMBER(Parametry!$G$6)),IF(AND(YEAR(D388)=Parametry!$G$6,M388&lt;=Parametry!$G$7),1,0),0)</f>
        <v>0</v>
      </c>
      <c r="O388" s="13">
        <f>IF(C388="",IF(COUNTA(D388:J388)&gt;0,1,0),IF(OR(COUNTIFS($C$9:$C$1008,C388)&lt;&gt;1,NOT(ISNUMBER(D388)),NOT(ISNUMBER(I388)),L388="",AND(F388&lt;&gt;"",COUNTIFS(Umowy!$C$9:$C$108,F388,Umowy!$D$9:$D$108,L388)&lt;&gt;1)),1,0))</f>
        <v>0</v>
      </c>
      <c r="P388" s="7" t="str">
        <f t="shared" si="16"/>
        <v/>
      </c>
      <c r="Q388" s="7" t="str">
        <f t="shared" si="17"/>
        <v/>
      </c>
    </row>
    <row r="389" spans="1:17" ht="24" customHeight="1">
      <c r="A389" s="7"/>
      <c r="B389" s="7"/>
      <c r="C389" s="3"/>
      <c r="D389" s="2"/>
      <c r="E389" s="3"/>
      <c r="F389" s="3"/>
      <c r="G389" s="3"/>
      <c r="H389" s="3"/>
      <c r="I389" s="6"/>
      <c r="J389" s="3"/>
      <c r="K389" s="7"/>
      <c r="L389" s="13" t="str">
        <f>IF(C389="","",IF(COUNTIFS(Parametry!$C$54:$C$113,E389)=1,INDEX(Parametry!$D$54:$D$113,MATCH(E389,Parametry!$C$54:$C$113,0)),""))</f>
        <v/>
      </c>
      <c r="M389" s="7">
        <f t="shared" si="15"/>
        <v>0</v>
      </c>
      <c r="N389" s="13">
        <f>IF(AND(ISNUMBER(D389),ISNUMBER(Parametry!$G$6)),IF(AND(YEAR(D389)=Parametry!$G$6,M389&lt;=Parametry!$G$7),1,0),0)</f>
        <v>0</v>
      </c>
      <c r="O389" s="13">
        <f>IF(C389="",IF(COUNTA(D389:J389)&gt;0,1,0),IF(OR(COUNTIFS($C$9:$C$1008,C389)&lt;&gt;1,NOT(ISNUMBER(D389)),NOT(ISNUMBER(I389)),L389="",AND(F389&lt;&gt;"",COUNTIFS(Umowy!$C$9:$C$108,F389,Umowy!$D$9:$D$108,L389)&lt;&gt;1)),1,0))</f>
        <v>0</v>
      </c>
      <c r="P389" s="7" t="str">
        <f t="shared" si="16"/>
        <v/>
      </c>
      <c r="Q389" s="7" t="str">
        <f t="shared" si="17"/>
        <v/>
      </c>
    </row>
    <row r="390" spans="1:17" ht="24" customHeight="1">
      <c r="A390" s="7"/>
      <c r="B390" s="7"/>
      <c r="C390" s="3"/>
      <c r="D390" s="2"/>
      <c r="E390" s="3"/>
      <c r="F390" s="3"/>
      <c r="G390" s="3"/>
      <c r="H390" s="3"/>
      <c r="I390" s="6"/>
      <c r="J390" s="3"/>
      <c r="K390" s="7"/>
      <c r="L390" s="13" t="str">
        <f>IF(C390="","",IF(COUNTIFS(Parametry!$C$54:$C$113,E390)=1,INDEX(Parametry!$D$54:$D$113,MATCH(E390,Parametry!$C$54:$C$113,0)),""))</f>
        <v/>
      </c>
      <c r="M390" s="7">
        <f t="shared" si="15"/>
        <v>0</v>
      </c>
      <c r="N390" s="13">
        <f>IF(AND(ISNUMBER(D390),ISNUMBER(Parametry!$G$6)),IF(AND(YEAR(D390)=Parametry!$G$6,M390&lt;=Parametry!$G$7),1,0),0)</f>
        <v>0</v>
      </c>
      <c r="O390" s="13">
        <f>IF(C390="",IF(COUNTA(D390:J390)&gt;0,1,0),IF(OR(COUNTIFS($C$9:$C$1008,C390)&lt;&gt;1,NOT(ISNUMBER(D390)),NOT(ISNUMBER(I390)),L390="",AND(F390&lt;&gt;"",COUNTIFS(Umowy!$C$9:$C$108,F390,Umowy!$D$9:$D$108,L390)&lt;&gt;1)),1,0))</f>
        <v>0</v>
      </c>
      <c r="P390" s="7" t="str">
        <f t="shared" si="16"/>
        <v/>
      </c>
      <c r="Q390" s="7" t="str">
        <f t="shared" si="17"/>
        <v/>
      </c>
    </row>
    <row r="391" spans="1:17" ht="24" customHeight="1">
      <c r="A391" s="7"/>
      <c r="B391" s="7"/>
      <c r="C391" s="3"/>
      <c r="D391" s="2"/>
      <c r="E391" s="3"/>
      <c r="F391" s="3"/>
      <c r="G391" s="3"/>
      <c r="H391" s="3"/>
      <c r="I391" s="6"/>
      <c r="J391" s="3"/>
      <c r="K391" s="7"/>
      <c r="L391" s="13" t="str">
        <f>IF(C391="","",IF(COUNTIFS(Parametry!$C$54:$C$113,E391)=1,INDEX(Parametry!$D$54:$D$113,MATCH(E391,Parametry!$C$54:$C$113,0)),""))</f>
        <v/>
      </c>
      <c r="M391" s="7">
        <f t="shared" si="15"/>
        <v>0</v>
      </c>
      <c r="N391" s="13">
        <f>IF(AND(ISNUMBER(D391),ISNUMBER(Parametry!$G$6)),IF(AND(YEAR(D391)=Parametry!$G$6,M391&lt;=Parametry!$G$7),1,0),0)</f>
        <v>0</v>
      </c>
      <c r="O391" s="13">
        <f>IF(C391="",IF(COUNTA(D391:J391)&gt;0,1,0),IF(OR(COUNTIFS($C$9:$C$1008,C391)&lt;&gt;1,NOT(ISNUMBER(D391)),NOT(ISNUMBER(I391)),L391="",AND(F391&lt;&gt;"",COUNTIFS(Umowy!$C$9:$C$108,F391,Umowy!$D$9:$D$108,L391)&lt;&gt;1)),1,0))</f>
        <v>0</v>
      </c>
      <c r="P391" s="7" t="str">
        <f t="shared" si="16"/>
        <v/>
      </c>
      <c r="Q391" s="7" t="str">
        <f t="shared" si="17"/>
        <v/>
      </c>
    </row>
    <row r="392" spans="1:17" ht="24" customHeight="1">
      <c r="A392" s="7"/>
      <c r="B392" s="7"/>
      <c r="C392" s="3"/>
      <c r="D392" s="2"/>
      <c r="E392" s="3"/>
      <c r="F392" s="3"/>
      <c r="G392" s="3"/>
      <c r="H392" s="3"/>
      <c r="I392" s="6"/>
      <c r="J392" s="3"/>
      <c r="K392" s="7"/>
      <c r="L392" s="13" t="str">
        <f>IF(C392="","",IF(COUNTIFS(Parametry!$C$54:$C$113,E392)=1,INDEX(Parametry!$D$54:$D$113,MATCH(E392,Parametry!$C$54:$C$113,0)),""))</f>
        <v/>
      </c>
      <c r="M392" s="7">
        <f t="shared" si="15"/>
        <v>0</v>
      </c>
      <c r="N392" s="13">
        <f>IF(AND(ISNUMBER(D392),ISNUMBER(Parametry!$G$6)),IF(AND(YEAR(D392)=Parametry!$G$6,M392&lt;=Parametry!$G$7),1,0),0)</f>
        <v>0</v>
      </c>
      <c r="O392" s="13">
        <f>IF(C392="",IF(COUNTA(D392:J392)&gt;0,1,0),IF(OR(COUNTIFS($C$9:$C$1008,C392)&lt;&gt;1,NOT(ISNUMBER(D392)),NOT(ISNUMBER(I392)),L392="",AND(F392&lt;&gt;"",COUNTIFS(Umowy!$C$9:$C$108,F392,Umowy!$D$9:$D$108,L392)&lt;&gt;1)),1,0))</f>
        <v>0</v>
      </c>
      <c r="P392" s="7" t="str">
        <f t="shared" si="16"/>
        <v/>
      </c>
      <c r="Q392" s="7" t="str">
        <f t="shared" si="17"/>
        <v/>
      </c>
    </row>
    <row r="393" spans="1:17" ht="24" customHeight="1">
      <c r="A393" s="7"/>
      <c r="B393" s="7"/>
      <c r="C393" s="3"/>
      <c r="D393" s="2"/>
      <c r="E393" s="3"/>
      <c r="F393" s="3"/>
      <c r="G393" s="3"/>
      <c r="H393" s="3"/>
      <c r="I393" s="6"/>
      <c r="J393" s="3"/>
      <c r="K393" s="7"/>
      <c r="L393" s="13" t="str">
        <f>IF(C393="","",IF(COUNTIFS(Parametry!$C$54:$C$113,E393)=1,INDEX(Parametry!$D$54:$D$113,MATCH(E393,Parametry!$C$54:$C$113,0)),""))</f>
        <v/>
      </c>
      <c r="M393" s="7">
        <f t="shared" ref="M393:M456" si="18">IF(ISNUMBER(D393),MONTH(D393),0)</f>
        <v>0</v>
      </c>
      <c r="N393" s="13">
        <f>IF(AND(ISNUMBER(D393),ISNUMBER(Parametry!$G$6)),IF(AND(YEAR(D393)=Parametry!$G$6,M393&lt;=Parametry!$G$7),1,0),0)</f>
        <v>0</v>
      </c>
      <c r="O393" s="13">
        <f>IF(C393="",IF(COUNTA(D393:J393)&gt;0,1,0),IF(OR(COUNTIFS($C$9:$C$1008,C393)&lt;&gt;1,NOT(ISNUMBER(D393)),NOT(ISNUMBER(I393)),L393="",AND(F393&lt;&gt;"",COUNTIFS(Umowy!$C$9:$C$108,F393,Umowy!$D$9:$D$108,L393)&lt;&gt;1)),1,0))</f>
        <v>0</v>
      </c>
      <c r="P393" s="7" t="str">
        <f t="shared" ref="P393:P456" si="19">IF(O393=0,"",IF(C393="","Missing RowID",IF(COUNTIFS($C$9:$C$1008,C393)&lt;&gt;1,"Duplicate RowID",IF(L393="","Unmapped ERPKey",IF(NOT(ISNUMBER(D393)),"Invalid Date",IF(NOT(ISNUMBER(I393)),"Invalid AmountPLN","CommitmentID / BudgetID"))))))</f>
        <v/>
      </c>
      <c r="Q393" s="7" t="str">
        <f t="shared" ref="Q393:Q456" si="20">IF(C393="","",IF(N393=1,"","Nie ujęto w wykonaniu okresu"))</f>
        <v/>
      </c>
    </row>
    <row r="394" spans="1:17" ht="24" customHeight="1">
      <c r="A394" s="7"/>
      <c r="B394" s="7"/>
      <c r="C394" s="3"/>
      <c r="D394" s="2"/>
      <c r="E394" s="3"/>
      <c r="F394" s="3"/>
      <c r="G394" s="3"/>
      <c r="H394" s="3"/>
      <c r="I394" s="6"/>
      <c r="J394" s="3"/>
      <c r="K394" s="7"/>
      <c r="L394" s="13" t="str">
        <f>IF(C394="","",IF(COUNTIFS(Parametry!$C$54:$C$113,E394)=1,INDEX(Parametry!$D$54:$D$113,MATCH(E394,Parametry!$C$54:$C$113,0)),""))</f>
        <v/>
      </c>
      <c r="M394" s="7">
        <f t="shared" si="18"/>
        <v>0</v>
      </c>
      <c r="N394" s="13">
        <f>IF(AND(ISNUMBER(D394),ISNUMBER(Parametry!$G$6)),IF(AND(YEAR(D394)=Parametry!$G$6,M394&lt;=Parametry!$G$7),1,0),0)</f>
        <v>0</v>
      </c>
      <c r="O394" s="13">
        <f>IF(C394="",IF(COUNTA(D394:J394)&gt;0,1,0),IF(OR(COUNTIFS($C$9:$C$1008,C394)&lt;&gt;1,NOT(ISNUMBER(D394)),NOT(ISNUMBER(I394)),L394="",AND(F394&lt;&gt;"",COUNTIFS(Umowy!$C$9:$C$108,F394,Umowy!$D$9:$D$108,L394)&lt;&gt;1)),1,0))</f>
        <v>0</v>
      </c>
      <c r="P394" s="7" t="str">
        <f t="shared" si="19"/>
        <v/>
      </c>
      <c r="Q394" s="7" t="str">
        <f t="shared" si="20"/>
        <v/>
      </c>
    </row>
    <row r="395" spans="1:17" ht="24" customHeight="1">
      <c r="A395" s="7"/>
      <c r="B395" s="7"/>
      <c r="C395" s="3"/>
      <c r="D395" s="2"/>
      <c r="E395" s="3"/>
      <c r="F395" s="3"/>
      <c r="G395" s="3"/>
      <c r="H395" s="3"/>
      <c r="I395" s="6"/>
      <c r="J395" s="3"/>
      <c r="K395" s="7"/>
      <c r="L395" s="13" t="str">
        <f>IF(C395="","",IF(COUNTIFS(Parametry!$C$54:$C$113,E395)=1,INDEX(Parametry!$D$54:$D$113,MATCH(E395,Parametry!$C$54:$C$113,0)),""))</f>
        <v/>
      </c>
      <c r="M395" s="7">
        <f t="shared" si="18"/>
        <v>0</v>
      </c>
      <c r="N395" s="13">
        <f>IF(AND(ISNUMBER(D395),ISNUMBER(Parametry!$G$6)),IF(AND(YEAR(D395)=Parametry!$G$6,M395&lt;=Parametry!$G$7),1,0),0)</f>
        <v>0</v>
      </c>
      <c r="O395" s="13">
        <f>IF(C395="",IF(COUNTA(D395:J395)&gt;0,1,0),IF(OR(COUNTIFS($C$9:$C$1008,C395)&lt;&gt;1,NOT(ISNUMBER(D395)),NOT(ISNUMBER(I395)),L395="",AND(F395&lt;&gt;"",COUNTIFS(Umowy!$C$9:$C$108,F395,Umowy!$D$9:$D$108,L395)&lt;&gt;1)),1,0))</f>
        <v>0</v>
      </c>
      <c r="P395" s="7" t="str">
        <f t="shared" si="19"/>
        <v/>
      </c>
      <c r="Q395" s="7" t="str">
        <f t="shared" si="20"/>
        <v/>
      </c>
    </row>
    <row r="396" spans="1:17" ht="24" customHeight="1">
      <c r="A396" s="7"/>
      <c r="B396" s="7"/>
      <c r="C396" s="3"/>
      <c r="D396" s="2"/>
      <c r="E396" s="3"/>
      <c r="F396" s="3"/>
      <c r="G396" s="3"/>
      <c r="H396" s="3"/>
      <c r="I396" s="6"/>
      <c r="J396" s="3"/>
      <c r="K396" s="7"/>
      <c r="L396" s="13" t="str">
        <f>IF(C396="","",IF(COUNTIFS(Parametry!$C$54:$C$113,E396)=1,INDEX(Parametry!$D$54:$D$113,MATCH(E396,Parametry!$C$54:$C$113,0)),""))</f>
        <v/>
      </c>
      <c r="M396" s="7">
        <f t="shared" si="18"/>
        <v>0</v>
      </c>
      <c r="N396" s="13">
        <f>IF(AND(ISNUMBER(D396),ISNUMBER(Parametry!$G$6)),IF(AND(YEAR(D396)=Parametry!$G$6,M396&lt;=Parametry!$G$7),1,0),0)</f>
        <v>0</v>
      </c>
      <c r="O396" s="13">
        <f>IF(C396="",IF(COUNTA(D396:J396)&gt;0,1,0),IF(OR(COUNTIFS($C$9:$C$1008,C396)&lt;&gt;1,NOT(ISNUMBER(D396)),NOT(ISNUMBER(I396)),L396="",AND(F396&lt;&gt;"",COUNTIFS(Umowy!$C$9:$C$108,F396,Umowy!$D$9:$D$108,L396)&lt;&gt;1)),1,0))</f>
        <v>0</v>
      </c>
      <c r="P396" s="7" t="str">
        <f t="shared" si="19"/>
        <v/>
      </c>
      <c r="Q396" s="7" t="str">
        <f t="shared" si="20"/>
        <v/>
      </c>
    </row>
    <row r="397" spans="1:17" ht="24" customHeight="1">
      <c r="A397" s="7"/>
      <c r="B397" s="7"/>
      <c r="C397" s="3"/>
      <c r="D397" s="2"/>
      <c r="E397" s="3"/>
      <c r="F397" s="3"/>
      <c r="G397" s="3"/>
      <c r="H397" s="3"/>
      <c r="I397" s="6"/>
      <c r="J397" s="3"/>
      <c r="K397" s="7"/>
      <c r="L397" s="13" t="str">
        <f>IF(C397="","",IF(COUNTIFS(Parametry!$C$54:$C$113,E397)=1,INDEX(Parametry!$D$54:$D$113,MATCH(E397,Parametry!$C$54:$C$113,0)),""))</f>
        <v/>
      </c>
      <c r="M397" s="7">
        <f t="shared" si="18"/>
        <v>0</v>
      </c>
      <c r="N397" s="13">
        <f>IF(AND(ISNUMBER(D397),ISNUMBER(Parametry!$G$6)),IF(AND(YEAR(D397)=Parametry!$G$6,M397&lt;=Parametry!$G$7),1,0),0)</f>
        <v>0</v>
      </c>
      <c r="O397" s="13">
        <f>IF(C397="",IF(COUNTA(D397:J397)&gt;0,1,0),IF(OR(COUNTIFS($C$9:$C$1008,C397)&lt;&gt;1,NOT(ISNUMBER(D397)),NOT(ISNUMBER(I397)),L397="",AND(F397&lt;&gt;"",COUNTIFS(Umowy!$C$9:$C$108,F397,Umowy!$D$9:$D$108,L397)&lt;&gt;1)),1,0))</f>
        <v>0</v>
      </c>
      <c r="P397" s="7" t="str">
        <f t="shared" si="19"/>
        <v/>
      </c>
      <c r="Q397" s="7" t="str">
        <f t="shared" si="20"/>
        <v/>
      </c>
    </row>
    <row r="398" spans="1:17" ht="24" customHeight="1">
      <c r="A398" s="7"/>
      <c r="B398" s="7"/>
      <c r="C398" s="3"/>
      <c r="D398" s="2"/>
      <c r="E398" s="3"/>
      <c r="F398" s="3"/>
      <c r="G398" s="3"/>
      <c r="H398" s="3"/>
      <c r="I398" s="6"/>
      <c r="J398" s="3"/>
      <c r="K398" s="7"/>
      <c r="L398" s="13" t="str">
        <f>IF(C398="","",IF(COUNTIFS(Parametry!$C$54:$C$113,E398)=1,INDEX(Parametry!$D$54:$D$113,MATCH(E398,Parametry!$C$54:$C$113,0)),""))</f>
        <v/>
      </c>
      <c r="M398" s="7">
        <f t="shared" si="18"/>
        <v>0</v>
      </c>
      <c r="N398" s="13">
        <f>IF(AND(ISNUMBER(D398),ISNUMBER(Parametry!$G$6)),IF(AND(YEAR(D398)=Parametry!$G$6,M398&lt;=Parametry!$G$7),1,0),0)</f>
        <v>0</v>
      </c>
      <c r="O398" s="13">
        <f>IF(C398="",IF(COUNTA(D398:J398)&gt;0,1,0),IF(OR(COUNTIFS($C$9:$C$1008,C398)&lt;&gt;1,NOT(ISNUMBER(D398)),NOT(ISNUMBER(I398)),L398="",AND(F398&lt;&gt;"",COUNTIFS(Umowy!$C$9:$C$108,F398,Umowy!$D$9:$D$108,L398)&lt;&gt;1)),1,0))</f>
        <v>0</v>
      </c>
      <c r="P398" s="7" t="str">
        <f t="shared" si="19"/>
        <v/>
      </c>
      <c r="Q398" s="7" t="str">
        <f t="shared" si="20"/>
        <v/>
      </c>
    </row>
    <row r="399" spans="1:17" ht="24" customHeight="1">
      <c r="A399" s="7"/>
      <c r="B399" s="7"/>
      <c r="C399" s="3"/>
      <c r="D399" s="2"/>
      <c r="E399" s="3"/>
      <c r="F399" s="3"/>
      <c r="G399" s="3"/>
      <c r="H399" s="3"/>
      <c r="I399" s="6"/>
      <c r="J399" s="3"/>
      <c r="K399" s="7"/>
      <c r="L399" s="13" t="str">
        <f>IF(C399="","",IF(COUNTIFS(Parametry!$C$54:$C$113,E399)=1,INDEX(Parametry!$D$54:$D$113,MATCH(E399,Parametry!$C$54:$C$113,0)),""))</f>
        <v/>
      </c>
      <c r="M399" s="7">
        <f t="shared" si="18"/>
        <v>0</v>
      </c>
      <c r="N399" s="13">
        <f>IF(AND(ISNUMBER(D399),ISNUMBER(Parametry!$G$6)),IF(AND(YEAR(D399)=Parametry!$G$6,M399&lt;=Parametry!$G$7),1,0),0)</f>
        <v>0</v>
      </c>
      <c r="O399" s="13">
        <f>IF(C399="",IF(COUNTA(D399:J399)&gt;0,1,0),IF(OR(COUNTIFS($C$9:$C$1008,C399)&lt;&gt;1,NOT(ISNUMBER(D399)),NOT(ISNUMBER(I399)),L399="",AND(F399&lt;&gt;"",COUNTIFS(Umowy!$C$9:$C$108,F399,Umowy!$D$9:$D$108,L399)&lt;&gt;1)),1,0))</f>
        <v>0</v>
      </c>
      <c r="P399" s="7" t="str">
        <f t="shared" si="19"/>
        <v/>
      </c>
      <c r="Q399" s="7" t="str">
        <f t="shared" si="20"/>
        <v/>
      </c>
    </row>
    <row r="400" spans="1:17" ht="24" customHeight="1">
      <c r="A400" s="7"/>
      <c r="B400" s="7"/>
      <c r="C400" s="3"/>
      <c r="D400" s="2"/>
      <c r="E400" s="3"/>
      <c r="F400" s="3"/>
      <c r="G400" s="3"/>
      <c r="H400" s="3"/>
      <c r="I400" s="6"/>
      <c r="J400" s="3"/>
      <c r="K400" s="7"/>
      <c r="L400" s="13" t="str">
        <f>IF(C400="","",IF(COUNTIFS(Parametry!$C$54:$C$113,E400)=1,INDEX(Parametry!$D$54:$D$113,MATCH(E400,Parametry!$C$54:$C$113,0)),""))</f>
        <v/>
      </c>
      <c r="M400" s="7">
        <f t="shared" si="18"/>
        <v>0</v>
      </c>
      <c r="N400" s="13">
        <f>IF(AND(ISNUMBER(D400),ISNUMBER(Parametry!$G$6)),IF(AND(YEAR(D400)=Parametry!$G$6,M400&lt;=Parametry!$G$7),1,0),0)</f>
        <v>0</v>
      </c>
      <c r="O400" s="13">
        <f>IF(C400="",IF(COUNTA(D400:J400)&gt;0,1,0),IF(OR(COUNTIFS($C$9:$C$1008,C400)&lt;&gt;1,NOT(ISNUMBER(D400)),NOT(ISNUMBER(I400)),L400="",AND(F400&lt;&gt;"",COUNTIFS(Umowy!$C$9:$C$108,F400,Umowy!$D$9:$D$108,L400)&lt;&gt;1)),1,0))</f>
        <v>0</v>
      </c>
      <c r="P400" s="7" t="str">
        <f t="shared" si="19"/>
        <v/>
      </c>
      <c r="Q400" s="7" t="str">
        <f t="shared" si="20"/>
        <v/>
      </c>
    </row>
    <row r="401" spans="1:17" ht="24" customHeight="1">
      <c r="A401" s="7"/>
      <c r="B401" s="7"/>
      <c r="C401" s="3"/>
      <c r="D401" s="2"/>
      <c r="E401" s="3"/>
      <c r="F401" s="3"/>
      <c r="G401" s="3"/>
      <c r="H401" s="3"/>
      <c r="I401" s="6"/>
      <c r="J401" s="3"/>
      <c r="K401" s="7"/>
      <c r="L401" s="13" t="str">
        <f>IF(C401="","",IF(COUNTIFS(Parametry!$C$54:$C$113,E401)=1,INDEX(Parametry!$D$54:$D$113,MATCH(E401,Parametry!$C$54:$C$113,0)),""))</f>
        <v/>
      </c>
      <c r="M401" s="7">
        <f t="shared" si="18"/>
        <v>0</v>
      </c>
      <c r="N401" s="13">
        <f>IF(AND(ISNUMBER(D401),ISNUMBER(Parametry!$G$6)),IF(AND(YEAR(D401)=Parametry!$G$6,M401&lt;=Parametry!$G$7),1,0),0)</f>
        <v>0</v>
      </c>
      <c r="O401" s="13">
        <f>IF(C401="",IF(COUNTA(D401:J401)&gt;0,1,0),IF(OR(COUNTIFS($C$9:$C$1008,C401)&lt;&gt;1,NOT(ISNUMBER(D401)),NOT(ISNUMBER(I401)),L401="",AND(F401&lt;&gt;"",COUNTIFS(Umowy!$C$9:$C$108,F401,Umowy!$D$9:$D$108,L401)&lt;&gt;1)),1,0))</f>
        <v>0</v>
      </c>
      <c r="P401" s="7" t="str">
        <f t="shared" si="19"/>
        <v/>
      </c>
      <c r="Q401" s="7" t="str">
        <f t="shared" si="20"/>
        <v/>
      </c>
    </row>
    <row r="402" spans="1:17" ht="24" customHeight="1">
      <c r="A402" s="7"/>
      <c r="B402" s="7"/>
      <c r="C402" s="3"/>
      <c r="D402" s="2"/>
      <c r="E402" s="3"/>
      <c r="F402" s="3"/>
      <c r="G402" s="3"/>
      <c r="H402" s="3"/>
      <c r="I402" s="6"/>
      <c r="J402" s="3"/>
      <c r="K402" s="7"/>
      <c r="L402" s="13" t="str">
        <f>IF(C402="","",IF(COUNTIFS(Parametry!$C$54:$C$113,E402)=1,INDEX(Parametry!$D$54:$D$113,MATCH(E402,Parametry!$C$54:$C$113,0)),""))</f>
        <v/>
      </c>
      <c r="M402" s="7">
        <f t="shared" si="18"/>
        <v>0</v>
      </c>
      <c r="N402" s="13">
        <f>IF(AND(ISNUMBER(D402),ISNUMBER(Parametry!$G$6)),IF(AND(YEAR(D402)=Parametry!$G$6,M402&lt;=Parametry!$G$7),1,0),0)</f>
        <v>0</v>
      </c>
      <c r="O402" s="13">
        <f>IF(C402="",IF(COUNTA(D402:J402)&gt;0,1,0),IF(OR(COUNTIFS($C$9:$C$1008,C402)&lt;&gt;1,NOT(ISNUMBER(D402)),NOT(ISNUMBER(I402)),L402="",AND(F402&lt;&gt;"",COUNTIFS(Umowy!$C$9:$C$108,F402,Umowy!$D$9:$D$108,L402)&lt;&gt;1)),1,0))</f>
        <v>0</v>
      </c>
      <c r="P402" s="7" t="str">
        <f t="shared" si="19"/>
        <v/>
      </c>
      <c r="Q402" s="7" t="str">
        <f t="shared" si="20"/>
        <v/>
      </c>
    </row>
    <row r="403" spans="1:17" ht="24" customHeight="1">
      <c r="A403" s="7"/>
      <c r="B403" s="7"/>
      <c r="C403" s="3"/>
      <c r="D403" s="2"/>
      <c r="E403" s="3"/>
      <c r="F403" s="3"/>
      <c r="G403" s="3"/>
      <c r="H403" s="3"/>
      <c r="I403" s="6"/>
      <c r="J403" s="3"/>
      <c r="K403" s="7"/>
      <c r="L403" s="13" t="str">
        <f>IF(C403="","",IF(COUNTIFS(Parametry!$C$54:$C$113,E403)=1,INDEX(Parametry!$D$54:$D$113,MATCH(E403,Parametry!$C$54:$C$113,0)),""))</f>
        <v/>
      </c>
      <c r="M403" s="7">
        <f t="shared" si="18"/>
        <v>0</v>
      </c>
      <c r="N403" s="13">
        <f>IF(AND(ISNUMBER(D403),ISNUMBER(Parametry!$G$6)),IF(AND(YEAR(D403)=Parametry!$G$6,M403&lt;=Parametry!$G$7),1,0),0)</f>
        <v>0</v>
      </c>
      <c r="O403" s="13">
        <f>IF(C403="",IF(COUNTA(D403:J403)&gt;0,1,0),IF(OR(COUNTIFS($C$9:$C$1008,C403)&lt;&gt;1,NOT(ISNUMBER(D403)),NOT(ISNUMBER(I403)),L403="",AND(F403&lt;&gt;"",COUNTIFS(Umowy!$C$9:$C$108,F403,Umowy!$D$9:$D$108,L403)&lt;&gt;1)),1,0))</f>
        <v>0</v>
      </c>
      <c r="P403" s="7" t="str">
        <f t="shared" si="19"/>
        <v/>
      </c>
      <c r="Q403" s="7" t="str">
        <f t="shared" si="20"/>
        <v/>
      </c>
    </row>
    <row r="404" spans="1:17" ht="24" customHeight="1">
      <c r="A404" s="7"/>
      <c r="B404" s="7"/>
      <c r="C404" s="3"/>
      <c r="D404" s="2"/>
      <c r="E404" s="3"/>
      <c r="F404" s="3"/>
      <c r="G404" s="3"/>
      <c r="H404" s="3"/>
      <c r="I404" s="6"/>
      <c r="J404" s="3"/>
      <c r="K404" s="7"/>
      <c r="L404" s="13" t="str">
        <f>IF(C404="","",IF(COUNTIFS(Parametry!$C$54:$C$113,E404)=1,INDEX(Parametry!$D$54:$D$113,MATCH(E404,Parametry!$C$54:$C$113,0)),""))</f>
        <v/>
      </c>
      <c r="M404" s="7">
        <f t="shared" si="18"/>
        <v>0</v>
      </c>
      <c r="N404" s="13">
        <f>IF(AND(ISNUMBER(D404),ISNUMBER(Parametry!$G$6)),IF(AND(YEAR(D404)=Parametry!$G$6,M404&lt;=Parametry!$G$7),1,0),0)</f>
        <v>0</v>
      </c>
      <c r="O404" s="13">
        <f>IF(C404="",IF(COUNTA(D404:J404)&gt;0,1,0),IF(OR(COUNTIFS($C$9:$C$1008,C404)&lt;&gt;1,NOT(ISNUMBER(D404)),NOT(ISNUMBER(I404)),L404="",AND(F404&lt;&gt;"",COUNTIFS(Umowy!$C$9:$C$108,F404,Umowy!$D$9:$D$108,L404)&lt;&gt;1)),1,0))</f>
        <v>0</v>
      </c>
      <c r="P404" s="7" t="str">
        <f t="shared" si="19"/>
        <v/>
      </c>
      <c r="Q404" s="7" t="str">
        <f t="shared" si="20"/>
        <v/>
      </c>
    </row>
    <row r="405" spans="1:17" ht="24" customHeight="1">
      <c r="A405" s="7"/>
      <c r="B405" s="7"/>
      <c r="C405" s="3"/>
      <c r="D405" s="2"/>
      <c r="E405" s="3"/>
      <c r="F405" s="3"/>
      <c r="G405" s="3"/>
      <c r="H405" s="3"/>
      <c r="I405" s="6"/>
      <c r="J405" s="3"/>
      <c r="K405" s="7"/>
      <c r="L405" s="13" t="str">
        <f>IF(C405="","",IF(COUNTIFS(Parametry!$C$54:$C$113,E405)=1,INDEX(Parametry!$D$54:$D$113,MATCH(E405,Parametry!$C$54:$C$113,0)),""))</f>
        <v/>
      </c>
      <c r="M405" s="7">
        <f t="shared" si="18"/>
        <v>0</v>
      </c>
      <c r="N405" s="13">
        <f>IF(AND(ISNUMBER(D405),ISNUMBER(Parametry!$G$6)),IF(AND(YEAR(D405)=Parametry!$G$6,M405&lt;=Parametry!$G$7),1,0),0)</f>
        <v>0</v>
      </c>
      <c r="O405" s="13">
        <f>IF(C405="",IF(COUNTA(D405:J405)&gt;0,1,0),IF(OR(COUNTIFS($C$9:$C$1008,C405)&lt;&gt;1,NOT(ISNUMBER(D405)),NOT(ISNUMBER(I405)),L405="",AND(F405&lt;&gt;"",COUNTIFS(Umowy!$C$9:$C$108,F405,Umowy!$D$9:$D$108,L405)&lt;&gt;1)),1,0))</f>
        <v>0</v>
      </c>
      <c r="P405" s="7" t="str">
        <f t="shared" si="19"/>
        <v/>
      </c>
      <c r="Q405" s="7" t="str">
        <f t="shared" si="20"/>
        <v/>
      </c>
    </row>
    <row r="406" spans="1:17" ht="24" customHeight="1">
      <c r="A406" s="7"/>
      <c r="B406" s="7"/>
      <c r="C406" s="3"/>
      <c r="D406" s="2"/>
      <c r="E406" s="3"/>
      <c r="F406" s="3"/>
      <c r="G406" s="3"/>
      <c r="H406" s="3"/>
      <c r="I406" s="6"/>
      <c r="J406" s="3"/>
      <c r="K406" s="7"/>
      <c r="L406" s="13" t="str">
        <f>IF(C406="","",IF(COUNTIFS(Parametry!$C$54:$C$113,E406)=1,INDEX(Parametry!$D$54:$D$113,MATCH(E406,Parametry!$C$54:$C$113,0)),""))</f>
        <v/>
      </c>
      <c r="M406" s="7">
        <f t="shared" si="18"/>
        <v>0</v>
      </c>
      <c r="N406" s="13">
        <f>IF(AND(ISNUMBER(D406),ISNUMBER(Parametry!$G$6)),IF(AND(YEAR(D406)=Parametry!$G$6,M406&lt;=Parametry!$G$7),1,0),0)</f>
        <v>0</v>
      </c>
      <c r="O406" s="13">
        <f>IF(C406="",IF(COUNTA(D406:J406)&gt;0,1,0),IF(OR(COUNTIFS($C$9:$C$1008,C406)&lt;&gt;1,NOT(ISNUMBER(D406)),NOT(ISNUMBER(I406)),L406="",AND(F406&lt;&gt;"",COUNTIFS(Umowy!$C$9:$C$108,F406,Umowy!$D$9:$D$108,L406)&lt;&gt;1)),1,0))</f>
        <v>0</v>
      </c>
      <c r="P406" s="7" t="str">
        <f t="shared" si="19"/>
        <v/>
      </c>
      <c r="Q406" s="7" t="str">
        <f t="shared" si="20"/>
        <v/>
      </c>
    </row>
    <row r="407" spans="1:17" ht="24" customHeight="1">
      <c r="A407" s="7"/>
      <c r="B407" s="7"/>
      <c r="C407" s="3"/>
      <c r="D407" s="2"/>
      <c r="E407" s="3"/>
      <c r="F407" s="3"/>
      <c r="G407" s="3"/>
      <c r="H407" s="3"/>
      <c r="I407" s="6"/>
      <c r="J407" s="3"/>
      <c r="K407" s="7"/>
      <c r="L407" s="13" t="str">
        <f>IF(C407="","",IF(COUNTIFS(Parametry!$C$54:$C$113,E407)=1,INDEX(Parametry!$D$54:$D$113,MATCH(E407,Parametry!$C$54:$C$113,0)),""))</f>
        <v/>
      </c>
      <c r="M407" s="7">
        <f t="shared" si="18"/>
        <v>0</v>
      </c>
      <c r="N407" s="13">
        <f>IF(AND(ISNUMBER(D407),ISNUMBER(Parametry!$G$6)),IF(AND(YEAR(D407)=Parametry!$G$6,M407&lt;=Parametry!$G$7),1,0),0)</f>
        <v>0</v>
      </c>
      <c r="O407" s="13">
        <f>IF(C407="",IF(COUNTA(D407:J407)&gt;0,1,0),IF(OR(COUNTIFS($C$9:$C$1008,C407)&lt;&gt;1,NOT(ISNUMBER(D407)),NOT(ISNUMBER(I407)),L407="",AND(F407&lt;&gt;"",COUNTIFS(Umowy!$C$9:$C$108,F407,Umowy!$D$9:$D$108,L407)&lt;&gt;1)),1,0))</f>
        <v>0</v>
      </c>
      <c r="P407" s="7" t="str">
        <f t="shared" si="19"/>
        <v/>
      </c>
      <c r="Q407" s="7" t="str">
        <f t="shared" si="20"/>
        <v/>
      </c>
    </row>
    <row r="408" spans="1:17" ht="24" customHeight="1">
      <c r="A408" s="7"/>
      <c r="B408" s="7"/>
      <c r="C408" s="3"/>
      <c r="D408" s="2"/>
      <c r="E408" s="3"/>
      <c r="F408" s="3"/>
      <c r="G408" s="3"/>
      <c r="H408" s="3"/>
      <c r="I408" s="6"/>
      <c r="J408" s="3"/>
      <c r="K408" s="7"/>
      <c r="L408" s="13" t="str">
        <f>IF(C408="","",IF(COUNTIFS(Parametry!$C$54:$C$113,E408)=1,INDEX(Parametry!$D$54:$D$113,MATCH(E408,Parametry!$C$54:$C$113,0)),""))</f>
        <v/>
      </c>
      <c r="M408" s="7">
        <f t="shared" si="18"/>
        <v>0</v>
      </c>
      <c r="N408" s="13">
        <f>IF(AND(ISNUMBER(D408),ISNUMBER(Parametry!$G$6)),IF(AND(YEAR(D408)=Parametry!$G$6,M408&lt;=Parametry!$G$7),1,0),0)</f>
        <v>0</v>
      </c>
      <c r="O408" s="13">
        <f>IF(C408="",IF(COUNTA(D408:J408)&gt;0,1,0),IF(OR(COUNTIFS($C$9:$C$1008,C408)&lt;&gt;1,NOT(ISNUMBER(D408)),NOT(ISNUMBER(I408)),L408="",AND(F408&lt;&gt;"",COUNTIFS(Umowy!$C$9:$C$108,F408,Umowy!$D$9:$D$108,L408)&lt;&gt;1)),1,0))</f>
        <v>0</v>
      </c>
      <c r="P408" s="7" t="str">
        <f t="shared" si="19"/>
        <v/>
      </c>
      <c r="Q408" s="7" t="str">
        <f t="shared" si="20"/>
        <v/>
      </c>
    </row>
    <row r="409" spans="1:17" ht="24" customHeight="1">
      <c r="A409" s="7"/>
      <c r="B409" s="7"/>
      <c r="C409" s="3"/>
      <c r="D409" s="2"/>
      <c r="E409" s="3"/>
      <c r="F409" s="3"/>
      <c r="G409" s="3"/>
      <c r="H409" s="3"/>
      <c r="I409" s="6"/>
      <c r="J409" s="3"/>
      <c r="K409" s="7"/>
      <c r="L409" s="13" t="str">
        <f>IF(C409="","",IF(COUNTIFS(Parametry!$C$54:$C$113,E409)=1,INDEX(Parametry!$D$54:$D$113,MATCH(E409,Parametry!$C$54:$C$113,0)),""))</f>
        <v/>
      </c>
      <c r="M409" s="7">
        <f t="shared" si="18"/>
        <v>0</v>
      </c>
      <c r="N409" s="13">
        <f>IF(AND(ISNUMBER(D409),ISNUMBER(Parametry!$G$6)),IF(AND(YEAR(D409)=Parametry!$G$6,M409&lt;=Parametry!$G$7),1,0),0)</f>
        <v>0</v>
      </c>
      <c r="O409" s="13">
        <f>IF(C409="",IF(COUNTA(D409:J409)&gt;0,1,0),IF(OR(COUNTIFS($C$9:$C$1008,C409)&lt;&gt;1,NOT(ISNUMBER(D409)),NOT(ISNUMBER(I409)),L409="",AND(F409&lt;&gt;"",COUNTIFS(Umowy!$C$9:$C$108,F409,Umowy!$D$9:$D$108,L409)&lt;&gt;1)),1,0))</f>
        <v>0</v>
      </c>
      <c r="P409" s="7" t="str">
        <f t="shared" si="19"/>
        <v/>
      </c>
      <c r="Q409" s="7" t="str">
        <f t="shared" si="20"/>
        <v/>
      </c>
    </row>
    <row r="410" spans="1:17" ht="24" customHeight="1">
      <c r="A410" s="7"/>
      <c r="B410" s="7"/>
      <c r="C410" s="3"/>
      <c r="D410" s="2"/>
      <c r="E410" s="3"/>
      <c r="F410" s="3"/>
      <c r="G410" s="3"/>
      <c r="H410" s="3"/>
      <c r="I410" s="6"/>
      <c r="J410" s="3"/>
      <c r="K410" s="7"/>
      <c r="L410" s="13" t="str">
        <f>IF(C410="","",IF(COUNTIFS(Parametry!$C$54:$C$113,E410)=1,INDEX(Parametry!$D$54:$D$113,MATCH(E410,Parametry!$C$54:$C$113,0)),""))</f>
        <v/>
      </c>
      <c r="M410" s="7">
        <f t="shared" si="18"/>
        <v>0</v>
      </c>
      <c r="N410" s="13">
        <f>IF(AND(ISNUMBER(D410),ISNUMBER(Parametry!$G$6)),IF(AND(YEAR(D410)=Parametry!$G$6,M410&lt;=Parametry!$G$7),1,0),0)</f>
        <v>0</v>
      </c>
      <c r="O410" s="13">
        <f>IF(C410="",IF(COUNTA(D410:J410)&gt;0,1,0),IF(OR(COUNTIFS($C$9:$C$1008,C410)&lt;&gt;1,NOT(ISNUMBER(D410)),NOT(ISNUMBER(I410)),L410="",AND(F410&lt;&gt;"",COUNTIFS(Umowy!$C$9:$C$108,F410,Umowy!$D$9:$D$108,L410)&lt;&gt;1)),1,0))</f>
        <v>0</v>
      </c>
      <c r="P410" s="7" t="str">
        <f t="shared" si="19"/>
        <v/>
      </c>
      <c r="Q410" s="7" t="str">
        <f t="shared" si="20"/>
        <v/>
      </c>
    </row>
    <row r="411" spans="1:17" ht="24" customHeight="1">
      <c r="A411" s="7"/>
      <c r="B411" s="7"/>
      <c r="C411" s="3"/>
      <c r="D411" s="2"/>
      <c r="E411" s="3"/>
      <c r="F411" s="3"/>
      <c r="G411" s="3"/>
      <c r="H411" s="3"/>
      <c r="I411" s="6"/>
      <c r="J411" s="3"/>
      <c r="K411" s="7"/>
      <c r="L411" s="13" t="str">
        <f>IF(C411="","",IF(COUNTIFS(Parametry!$C$54:$C$113,E411)=1,INDEX(Parametry!$D$54:$D$113,MATCH(E411,Parametry!$C$54:$C$113,0)),""))</f>
        <v/>
      </c>
      <c r="M411" s="7">
        <f t="shared" si="18"/>
        <v>0</v>
      </c>
      <c r="N411" s="13">
        <f>IF(AND(ISNUMBER(D411),ISNUMBER(Parametry!$G$6)),IF(AND(YEAR(D411)=Parametry!$G$6,M411&lt;=Parametry!$G$7),1,0),0)</f>
        <v>0</v>
      </c>
      <c r="O411" s="13">
        <f>IF(C411="",IF(COUNTA(D411:J411)&gt;0,1,0),IF(OR(COUNTIFS($C$9:$C$1008,C411)&lt;&gt;1,NOT(ISNUMBER(D411)),NOT(ISNUMBER(I411)),L411="",AND(F411&lt;&gt;"",COUNTIFS(Umowy!$C$9:$C$108,F411,Umowy!$D$9:$D$108,L411)&lt;&gt;1)),1,0))</f>
        <v>0</v>
      </c>
      <c r="P411" s="7" t="str">
        <f t="shared" si="19"/>
        <v/>
      </c>
      <c r="Q411" s="7" t="str">
        <f t="shared" si="20"/>
        <v/>
      </c>
    </row>
    <row r="412" spans="1:17" ht="24" customHeight="1">
      <c r="A412" s="7"/>
      <c r="B412" s="7"/>
      <c r="C412" s="3"/>
      <c r="D412" s="2"/>
      <c r="E412" s="3"/>
      <c r="F412" s="3"/>
      <c r="G412" s="3"/>
      <c r="H412" s="3"/>
      <c r="I412" s="6"/>
      <c r="J412" s="3"/>
      <c r="K412" s="7"/>
      <c r="L412" s="13" t="str">
        <f>IF(C412="","",IF(COUNTIFS(Parametry!$C$54:$C$113,E412)=1,INDEX(Parametry!$D$54:$D$113,MATCH(E412,Parametry!$C$54:$C$113,0)),""))</f>
        <v/>
      </c>
      <c r="M412" s="7">
        <f t="shared" si="18"/>
        <v>0</v>
      </c>
      <c r="N412" s="13">
        <f>IF(AND(ISNUMBER(D412),ISNUMBER(Parametry!$G$6)),IF(AND(YEAR(D412)=Parametry!$G$6,M412&lt;=Parametry!$G$7),1,0),0)</f>
        <v>0</v>
      </c>
      <c r="O412" s="13">
        <f>IF(C412="",IF(COUNTA(D412:J412)&gt;0,1,0),IF(OR(COUNTIFS($C$9:$C$1008,C412)&lt;&gt;1,NOT(ISNUMBER(D412)),NOT(ISNUMBER(I412)),L412="",AND(F412&lt;&gt;"",COUNTIFS(Umowy!$C$9:$C$108,F412,Umowy!$D$9:$D$108,L412)&lt;&gt;1)),1,0))</f>
        <v>0</v>
      </c>
      <c r="P412" s="7" t="str">
        <f t="shared" si="19"/>
        <v/>
      </c>
      <c r="Q412" s="7" t="str">
        <f t="shared" si="20"/>
        <v/>
      </c>
    </row>
    <row r="413" spans="1:17" ht="24" customHeight="1">
      <c r="A413" s="7"/>
      <c r="B413" s="7"/>
      <c r="C413" s="3"/>
      <c r="D413" s="2"/>
      <c r="E413" s="3"/>
      <c r="F413" s="3"/>
      <c r="G413" s="3"/>
      <c r="H413" s="3"/>
      <c r="I413" s="6"/>
      <c r="J413" s="3"/>
      <c r="K413" s="7"/>
      <c r="L413" s="13" t="str">
        <f>IF(C413="","",IF(COUNTIFS(Parametry!$C$54:$C$113,E413)=1,INDEX(Parametry!$D$54:$D$113,MATCH(E413,Parametry!$C$54:$C$113,0)),""))</f>
        <v/>
      </c>
      <c r="M413" s="7">
        <f t="shared" si="18"/>
        <v>0</v>
      </c>
      <c r="N413" s="13">
        <f>IF(AND(ISNUMBER(D413),ISNUMBER(Parametry!$G$6)),IF(AND(YEAR(D413)=Parametry!$G$6,M413&lt;=Parametry!$G$7),1,0),0)</f>
        <v>0</v>
      </c>
      <c r="O413" s="13">
        <f>IF(C413="",IF(COUNTA(D413:J413)&gt;0,1,0),IF(OR(COUNTIFS($C$9:$C$1008,C413)&lt;&gt;1,NOT(ISNUMBER(D413)),NOT(ISNUMBER(I413)),L413="",AND(F413&lt;&gt;"",COUNTIFS(Umowy!$C$9:$C$108,F413,Umowy!$D$9:$D$108,L413)&lt;&gt;1)),1,0))</f>
        <v>0</v>
      </c>
      <c r="P413" s="7" t="str">
        <f t="shared" si="19"/>
        <v/>
      </c>
      <c r="Q413" s="7" t="str">
        <f t="shared" si="20"/>
        <v/>
      </c>
    </row>
    <row r="414" spans="1:17" ht="24" customHeight="1">
      <c r="A414" s="7"/>
      <c r="B414" s="7"/>
      <c r="C414" s="3"/>
      <c r="D414" s="2"/>
      <c r="E414" s="3"/>
      <c r="F414" s="3"/>
      <c r="G414" s="3"/>
      <c r="H414" s="3"/>
      <c r="I414" s="6"/>
      <c r="J414" s="3"/>
      <c r="K414" s="7"/>
      <c r="L414" s="13" t="str">
        <f>IF(C414="","",IF(COUNTIFS(Parametry!$C$54:$C$113,E414)=1,INDEX(Parametry!$D$54:$D$113,MATCH(E414,Parametry!$C$54:$C$113,0)),""))</f>
        <v/>
      </c>
      <c r="M414" s="7">
        <f t="shared" si="18"/>
        <v>0</v>
      </c>
      <c r="N414" s="13">
        <f>IF(AND(ISNUMBER(D414),ISNUMBER(Parametry!$G$6)),IF(AND(YEAR(D414)=Parametry!$G$6,M414&lt;=Parametry!$G$7),1,0),0)</f>
        <v>0</v>
      </c>
      <c r="O414" s="13">
        <f>IF(C414="",IF(COUNTA(D414:J414)&gt;0,1,0),IF(OR(COUNTIFS($C$9:$C$1008,C414)&lt;&gt;1,NOT(ISNUMBER(D414)),NOT(ISNUMBER(I414)),L414="",AND(F414&lt;&gt;"",COUNTIFS(Umowy!$C$9:$C$108,F414,Umowy!$D$9:$D$108,L414)&lt;&gt;1)),1,0))</f>
        <v>0</v>
      </c>
      <c r="P414" s="7" t="str">
        <f t="shared" si="19"/>
        <v/>
      </c>
      <c r="Q414" s="7" t="str">
        <f t="shared" si="20"/>
        <v/>
      </c>
    </row>
    <row r="415" spans="1:17" ht="24" customHeight="1">
      <c r="A415" s="7"/>
      <c r="B415" s="7"/>
      <c r="C415" s="3"/>
      <c r="D415" s="2"/>
      <c r="E415" s="3"/>
      <c r="F415" s="3"/>
      <c r="G415" s="3"/>
      <c r="H415" s="3"/>
      <c r="I415" s="6"/>
      <c r="J415" s="3"/>
      <c r="K415" s="7"/>
      <c r="L415" s="13" t="str">
        <f>IF(C415="","",IF(COUNTIFS(Parametry!$C$54:$C$113,E415)=1,INDEX(Parametry!$D$54:$D$113,MATCH(E415,Parametry!$C$54:$C$113,0)),""))</f>
        <v/>
      </c>
      <c r="M415" s="7">
        <f t="shared" si="18"/>
        <v>0</v>
      </c>
      <c r="N415" s="13">
        <f>IF(AND(ISNUMBER(D415),ISNUMBER(Parametry!$G$6)),IF(AND(YEAR(D415)=Parametry!$G$6,M415&lt;=Parametry!$G$7),1,0),0)</f>
        <v>0</v>
      </c>
      <c r="O415" s="13">
        <f>IF(C415="",IF(COUNTA(D415:J415)&gt;0,1,0),IF(OR(COUNTIFS($C$9:$C$1008,C415)&lt;&gt;1,NOT(ISNUMBER(D415)),NOT(ISNUMBER(I415)),L415="",AND(F415&lt;&gt;"",COUNTIFS(Umowy!$C$9:$C$108,F415,Umowy!$D$9:$D$108,L415)&lt;&gt;1)),1,0))</f>
        <v>0</v>
      </c>
      <c r="P415" s="7" t="str">
        <f t="shared" si="19"/>
        <v/>
      </c>
      <c r="Q415" s="7" t="str">
        <f t="shared" si="20"/>
        <v/>
      </c>
    </row>
    <row r="416" spans="1:17" ht="24" customHeight="1">
      <c r="A416" s="7"/>
      <c r="B416" s="7"/>
      <c r="C416" s="3"/>
      <c r="D416" s="2"/>
      <c r="E416" s="3"/>
      <c r="F416" s="3"/>
      <c r="G416" s="3"/>
      <c r="H416" s="3"/>
      <c r="I416" s="6"/>
      <c r="J416" s="3"/>
      <c r="K416" s="7"/>
      <c r="L416" s="13" t="str">
        <f>IF(C416="","",IF(COUNTIFS(Parametry!$C$54:$C$113,E416)=1,INDEX(Parametry!$D$54:$D$113,MATCH(E416,Parametry!$C$54:$C$113,0)),""))</f>
        <v/>
      </c>
      <c r="M416" s="7">
        <f t="shared" si="18"/>
        <v>0</v>
      </c>
      <c r="N416" s="13">
        <f>IF(AND(ISNUMBER(D416),ISNUMBER(Parametry!$G$6)),IF(AND(YEAR(D416)=Parametry!$G$6,M416&lt;=Parametry!$G$7),1,0),0)</f>
        <v>0</v>
      </c>
      <c r="O416" s="13">
        <f>IF(C416="",IF(COUNTA(D416:J416)&gt;0,1,0),IF(OR(COUNTIFS($C$9:$C$1008,C416)&lt;&gt;1,NOT(ISNUMBER(D416)),NOT(ISNUMBER(I416)),L416="",AND(F416&lt;&gt;"",COUNTIFS(Umowy!$C$9:$C$108,F416,Umowy!$D$9:$D$108,L416)&lt;&gt;1)),1,0))</f>
        <v>0</v>
      </c>
      <c r="P416" s="7" t="str">
        <f t="shared" si="19"/>
        <v/>
      </c>
      <c r="Q416" s="7" t="str">
        <f t="shared" si="20"/>
        <v/>
      </c>
    </row>
    <row r="417" spans="1:17" ht="24" customHeight="1">
      <c r="A417" s="7"/>
      <c r="B417" s="7"/>
      <c r="C417" s="3"/>
      <c r="D417" s="2"/>
      <c r="E417" s="3"/>
      <c r="F417" s="3"/>
      <c r="G417" s="3"/>
      <c r="H417" s="3"/>
      <c r="I417" s="6"/>
      <c r="J417" s="3"/>
      <c r="K417" s="7"/>
      <c r="L417" s="13" t="str">
        <f>IF(C417="","",IF(COUNTIFS(Parametry!$C$54:$C$113,E417)=1,INDEX(Parametry!$D$54:$D$113,MATCH(E417,Parametry!$C$54:$C$113,0)),""))</f>
        <v/>
      </c>
      <c r="M417" s="7">
        <f t="shared" si="18"/>
        <v>0</v>
      </c>
      <c r="N417" s="13">
        <f>IF(AND(ISNUMBER(D417),ISNUMBER(Parametry!$G$6)),IF(AND(YEAR(D417)=Parametry!$G$6,M417&lt;=Parametry!$G$7),1,0),0)</f>
        <v>0</v>
      </c>
      <c r="O417" s="13">
        <f>IF(C417="",IF(COUNTA(D417:J417)&gt;0,1,0),IF(OR(COUNTIFS($C$9:$C$1008,C417)&lt;&gt;1,NOT(ISNUMBER(D417)),NOT(ISNUMBER(I417)),L417="",AND(F417&lt;&gt;"",COUNTIFS(Umowy!$C$9:$C$108,F417,Umowy!$D$9:$D$108,L417)&lt;&gt;1)),1,0))</f>
        <v>0</v>
      </c>
      <c r="P417" s="7" t="str">
        <f t="shared" si="19"/>
        <v/>
      </c>
      <c r="Q417" s="7" t="str">
        <f t="shared" si="20"/>
        <v/>
      </c>
    </row>
    <row r="418" spans="1:17" ht="24" customHeight="1">
      <c r="A418" s="7"/>
      <c r="B418" s="7"/>
      <c r="C418" s="3"/>
      <c r="D418" s="2"/>
      <c r="E418" s="3"/>
      <c r="F418" s="3"/>
      <c r="G418" s="3"/>
      <c r="H418" s="3"/>
      <c r="I418" s="6"/>
      <c r="J418" s="3"/>
      <c r="K418" s="7"/>
      <c r="L418" s="13" t="str">
        <f>IF(C418="","",IF(COUNTIFS(Parametry!$C$54:$C$113,E418)=1,INDEX(Parametry!$D$54:$D$113,MATCH(E418,Parametry!$C$54:$C$113,0)),""))</f>
        <v/>
      </c>
      <c r="M418" s="7">
        <f t="shared" si="18"/>
        <v>0</v>
      </c>
      <c r="N418" s="13">
        <f>IF(AND(ISNUMBER(D418),ISNUMBER(Parametry!$G$6)),IF(AND(YEAR(D418)=Parametry!$G$6,M418&lt;=Parametry!$G$7),1,0),0)</f>
        <v>0</v>
      </c>
      <c r="O418" s="13">
        <f>IF(C418="",IF(COUNTA(D418:J418)&gt;0,1,0),IF(OR(COUNTIFS($C$9:$C$1008,C418)&lt;&gt;1,NOT(ISNUMBER(D418)),NOT(ISNUMBER(I418)),L418="",AND(F418&lt;&gt;"",COUNTIFS(Umowy!$C$9:$C$108,F418,Umowy!$D$9:$D$108,L418)&lt;&gt;1)),1,0))</f>
        <v>0</v>
      </c>
      <c r="P418" s="7" t="str">
        <f t="shared" si="19"/>
        <v/>
      </c>
      <c r="Q418" s="7" t="str">
        <f t="shared" si="20"/>
        <v/>
      </c>
    </row>
    <row r="419" spans="1:17" ht="24" customHeight="1">
      <c r="A419" s="7"/>
      <c r="B419" s="7"/>
      <c r="C419" s="3"/>
      <c r="D419" s="2"/>
      <c r="E419" s="3"/>
      <c r="F419" s="3"/>
      <c r="G419" s="3"/>
      <c r="H419" s="3"/>
      <c r="I419" s="6"/>
      <c r="J419" s="3"/>
      <c r="K419" s="7"/>
      <c r="L419" s="13" t="str">
        <f>IF(C419="","",IF(COUNTIFS(Parametry!$C$54:$C$113,E419)=1,INDEX(Parametry!$D$54:$D$113,MATCH(E419,Parametry!$C$54:$C$113,0)),""))</f>
        <v/>
      </c>
      <c r="M419" s="7">
        <f t="shared" si="18"/>
        <v>0</v>
      </c>
      <c r="N419" s="13">
        <f>IF(AND(ISNUMBER(D419),ISNUMBER(Parametry!$G$6)),IF(AND(YEAR(D419)=Parametry!$G$6,M419&lt;=Parametry!$G$7),1,0),0)</f>
        <v>0</v>
      </c>
      <c r="O419" s="13">
        <f>IF(C419="",IF(COUNTA(D419:J419)&gt;0,1,0),IF(OR(COUNTIFS($C$9:$C$1008,C419)&lt;&gt;1,NOT(ISNUMBER(D419)),NOT(ISNUMBER(I419)),L419="",AND(F419&lt;&gt;"",COUNTIFS(Umowy!$C$9:$C$108,F419,Umowy!$D$9:$D$108,L419)&lt;&gt;1)),1,0))</f>
        <v>0</v>
      </c>
      <c r="P419" s="7" t="str">
        <f t="shared" si="19"/>
        <v/>
      </c>
      <c r="Q419" s="7" t="str">
        <f t="shared" si="20"/>
        <v/>
      </c>
    </row>
    <row r="420" spans="1:17" ht="24" customHeight="1">
      <c r="A420" s="7"/>
      <c r="B420" s="7"/>
      <c r="C420" s="3"/>
      <c r="D420" s="2"/>
      <c r="E420" s="3"/>
      <c r="F420" s="3"/>
      <c r="G420" s="3"/>
      <c r="H420" s="3"/>
      <c r="I420" s="6"/>
      <c r="J420" s="3"/>
      <c r="K420" s="7"/>
      <c r="L420" s="13" t="str">
        <f>IF(C420="","",IF(COUNTIFS(Parametry!$C$54:$C$113,E420)=1,INDEX(Parametry!$D$54:$D$113,MATCH(E420,Parametry!$C$54:$C$113,0)),""))</f>
        <v/>
      </c>
      <c r="M420" s="7">
        <f t="shared" si="18"/>
        <v>0</v>
      </c>
      <c r="N420" s="13">
        <f>IF(AND(ISNUMBER(D420),ISNUMBER(Parametry!$G$6)),IF(AND(YEAR(D420)=Parametry!$G$6,M420&lt;=Parametry!$G$7),1,0),0)</f>
        <v>0</v>
      </c>
      <c r="O420" s="13">
        <f>IF(C420="",IF(COUNTA(D420:J420)&gt;0,1,0),IF(OR(COUNTIFS($C$9:$C$1008,C420)&lt;&gt;1,NOT(ISNUMBER(D420)),NOT(ISNUMBER(I420)),L420="",AND(F420&lt;&gt;"",COUNTIFS(Umowy!$C$9:$C$108,F420,Umowy!$D$9:$D$108,L420)&lt;&gt;1)),1,0))</f>
        <v>0</v>
      </c>
      <c r="P420" s="7" t="str">
        <f t="shared" si="19"/>
        <v/>
      </c>
      <c r="Q420" s="7" t="str">
        <f t="shared" si="20"/>
        <v/>
      </c>
    </row>
    <row r="421" spans="1:17" ht="24" customHeight="1">
      <c r="A421" s="7"/>
      <c r="B421" s="7"/>
      <c r="C421" s="3"/>
      <c r="D421" s="2"/>
      <c r="E421" s="3"/>
      <c r="F421" s="3"/>
      <c r="G421" s="3"/>
      <c r="H421" s="3"/>
      <c r="I421" s="6"/>
      <c r="J421" s="3"/>
      <c r="K421" s="7"/>
      <c r="L421" s="13" t="str">
        <f>IF(C421="","",IF(COUNTIFS(Parametry!$C$54:$C$113,E421)=1,INDEX(Parametry!$D$54:$D$113,MATCH(E421,Parametry!$C$54:$C$113,0)),""))</f>
        <v/>
      </c>
      <c r="M421" s="7">
        <f t="shared" si="18"/>
        <v>0</v>
      </c>
      <c r="N421" s="13">
        <f>IF(AND(ISNUMBER(D421),ISNUMBER(Parametry!$G$6)),IF(AND(YEAR(D421)=Parametry!$G$6,M421&lt;=Parametry!$G$7),1,0),0)</f>
        <v>0</v>
      </c>
      <c r="O421" s="13">
        <f>IF(C421="",IF(COUNTA(D421:J421)&gt;0,1,0),IF(OR(COUNTIFS($C$9:$C$1008,C421)&lt;&gt;1,NOT(ISNUMBER(D421)),NOT(ISNUMBER(I421)),L421="",AND(F421&lt;&gt;"",COUNTIFS(Umowy!$C$9:$C$108,F421,Umowy!$D$9:$D$108,L421)&lt;&gt;1)),1,0))</f>
        <v>0</v>
      </c>
      <c r="P421" s="7" t="str">
        <f t="shared" si="19"/>
        <v/>
      </c>
      <c r="Q421" s="7" t="str">
        <f t="shared" si="20"/>
        <v/>
      </c>
    </row>
    <row r="422" spans="1:17" ht="24" customHeight="1">
      <c r="A422" s="7"/>
      <c r="B422" s="7"/>
      <c r="C422" s="3"/>
      <c r="D422" s="2"/>
      <c r="E422" s="3"/>
      <c r="F422" s="3"/>
      <c r="G422" s="3"/>
      <c r="H422" s="3"/>
      <c r="I422" s="6"/>
      <c r="J422" s="3"/>
      <c r="K422" s="7"/>
      <c r="L422" s="13" t="str">
        <f>IF(C422="","",IF(COUNTIFS(Parametry!$C$54:$C$113,E422)=1,INDEX(Parametry!$D$54:$D$113,MATCH(E422,Parametry!$C$54:$C$113,0)),""))</f>
        <v/>
      </c>
      <c r="M422" s="7">
        <f t="shared" si="18"/>
        <v>0</v>
      </c>
      <c r="N422" s="13">
        <f>IF(AND(ISNUMBER(D422),ISNUMBER(Parametry!$G$6)),IF(AND(YEAR(D422)=Parametry!$G$6,M422&lt;=Parametry!$G$7),1,0),0)</f>
        <v>0</v>
      </c>
      <c r="O422" s="13">
        <f>IF(C422="",IF(COUNTA(D422:J422)&gt;0,1,0),IF(OR(COUNTIFS($C$9:$C$1008,C422)&lt;&gt;1,NOT(ISNUMBER(D422)),NOT(ISNUMBER(I422)),L422="",AND(F422&lt;&gt;"",COUNTIFS(Umowy!$C$9:$C$108,F422,Umowy!$D$9:$D$108,L422)&lt;&gt;1)),1,0))</f>
        <v>0</v>
      </c>
      <c r="P422" s="7" t="str">
        <f t="shared" si="19"/>
        <v/>
      </c>
      <c r="Q422" s="7" t="str">
        <f t="shared" si="20"/>
        <v/>
      </c>
    </row>
    <row r="423" spans="1:17" ht="24" customHeight="1">
      <c r="A423" s="7"/>
      <c r="B423" s="7"/>
      <c r="C423" s="3"/>
      <c r="D423" s="2"/>
      <c r="E423" s="3"/>
      <c r="F423" s="3"/>
      <c r="G423" s="3"/>
      <c r="H423" s="3"/>
      <c r="I423" s="6"/>
      <c r="J423" s="3"/>
      <c r="K423" s="7"/>
      <c r="L423" s="13" t="str">
        <f>IF(C423="","",IF(COUNTIFS(Parametry!$C$54:$C$113,E423)=1,INDEX(Parametry!$D$54:$D$113,MATCH(E423,Parametry!$C$54:$C$113,0)),""))</f>
        <v/>
      </c>
      <c r="M423" s="7">
        <f t="shared" si="18"/>
        <v>0</v>
      </c>
      <c r="N423" s="13">
        <f>IF(AND(ISNUMBER(D423),ISNUMBER(Parametry!$G$6)),IF(AND(YEAR(D423)=Parametry!$G$6,M423&lt;=Parametry!$G$7),1,0),0)</f>
        <v>0</v>
      </c>
      <c r="O423" s="13">
        <f>IF(C423="",IF(COUNTA(D423:J423)&gt;0,1,0),IF(OR(COUNTIFS($C$9:$C$1008,C423)&lt;&gt;1,NOT(ISNUMBER(D423)),NOT(ISNUMBER(I423)),L423="",AND(F423&lt;&gt;"",COUNTIFS(Umowy!$C$9:$C$108,F423,Umowy!$D$9:$D$108,L423)&lt;&gt;1)),1,0))</f>
        <v>0</v>
      </c>
      <c r="P423" s="7" t="str">
        <f t="shared" si="19"/>
        <v/>
      </c>
      <c r="Q423" s="7" t="str">
        <f t="shared" si="20"/>
        <v/>
      </c>
    </row>
    <row r="424" spans="1:17" ht="24" customHeight="1">
      <c r="A424" s="7"/>
      <c r="B424" s="7"/>
      <c r="C424" s="3"/>
      <c r="D424" s="2"/>
      <c r="E424" s="3"/>
      <c r="F424" s="3"/>
      <c r="G424" s="3"/>
      <c r="H424" s="3"/>
      <c r="I424" s="6"/>
      <c r="J424" s="3"/>
      <c r="K424" s="7"/>
      <c r="L424" s="13" t="str">
        <f>IF(C424="","",IF(COUNTIFS(Parametry!$C$54:$C$113,E424)=1,INDEX(Parametry!$D$54:$D$113,MATCH(E424,Parametry!$C$54:$C$113,0)),""))</f>
        <v/>
      </c>
      <c r="M424" s="7">
        <f t="shared" si="18"/>
        <v>0</v>
      </c>
      <c r="N424" s="13">
        <f>IF(AND(ISNUMBER(D424),ISNUMBER(Parametry!$G$6)),IF(AND(YEAR(D424)=Parametry!$G$6,M424&lt;=Parametry!$G$7),1,0),0)</f>
        <v>0</v>
      </c>
      <c r="O424" s="13">
        <f>IF(C424="",IF(COUNTA(D424:J424)&gt;0,1,0),IF(OR(COUNTIFS($C$9:$C$1008,C424)&lt;&gt;1,NOT(ISNUMBER(D424)),NOT(ISNUMBER(I424)),L424="",AND(F424&lt;&gt;"",COUNTIFS(Umowy!$C$9:$C$108,F424,Umowy!$D$9:$D$108,L424)&lt;&gt;1)),1,0))</f>
        <v>0</v>
      </c>
      <c r="P424" s="7" t="str">
        <f t="shared" si="19"/>
        <v/>
      </c>
      <c r="Q424" s="7" t="str">
        <f t="shared" si="20"/>
        <v/>
      </c>
    </row>
    <row r="425" spans="1:17" ht="24" customHeight="1">
      <c r="A425" s="7"/>
      <c r="B425" s="7"/>
      <c r="C425" s="3"/>
      <c r="D425" s="2"/>
      <c r="E425" s="3"/>
      <c r="F425" s="3"/>
      <c r="G425" s="3"/>
      <c r="H425" s="3"/>
      <c r="I425" s="6"/>
      <c r="J425" s="3"/>
      <c r="K425" s="7"/>
      <c r="L425" s="13" t="str">
        <f>IF(C425="","",IF(COUNTIFS(Parametry!$C$54:$C$113,E425)=1,INDEX(Parametry!$D$54:$D$113,MATCH(E425,Parametry!$C$54:$C$113,0)),""))</f>
        <v/>
      </c>
      <c r="M425" s="7">
        <f t="shared" si="18"/>
        <v>0</v>
      </c>
      <c r="N425" s="13">
        <f>IF(AND(ISNUMBER(D425),ISNUMBER(Parametry!$G$6)),IF(AND(YEAR(D425)=Parametry!$G$6,M425&lt;=Parametry!$G$7),1,0),0)</f>
        <v>0</v>
      </c>
      <c r="O425" s="13">
        <f>IF(C425="",IF(COUNTA(D425:J425)&gt;0,1,0),IF(OR(COUNTIFS($C$9:$C$1008,C425)&lt;&gt;1,NOT(ISNUMBER(D425)),NOT(ISNUMBER(I425)),L425="",AND(F425&lt;&gt;"",COUNTIFS(Umowy!$C$9:$C$108,F425,Umowy!$D$9:$D$108,L425)&lt;&gt;1)),1,0))</f>
        <v>0</v>
      </c>
      <c r="P425" s="7" t="str">
        <f t="shared" si="19"/>
        <v/>
      </c>
      <c r="Q425" s="7" t="str">
        <f t="shared" si="20"/>
        <v/>
      </c>
    </row>
    <row r="426" spans="1:17" ht="24" customHeight="1">
      <c r="A426" s="7"/>
      <c r="B426" s="7"/>
      <c r="C426" s="3"/>
      <c r="D426" s="2"/>
      <c r="E426" s="3"/>
      <c r="F426" s="3"/>
      <c r="G426" s="3"/>
      <c r="H426" s="3"/>
      <c r="I426" s="6"/>
      <c r="J426" s="3"/>
      <c r="K426" s="7"/>
      <c r="L426" s="13" t="str">
        <f>IF(C426="","",IF(COUNTIFS(Parametry!$C$54:$C$113,E426)=1,INDEX(Parametry!$D$54:$D$113,MATCH(E426,Parametry!$C$54:$C$113,0)),""))</f>
        <v/>
      </c>
      <c r="M426" s="7">
        <f t="shared" si="18"/>
        <v>0</v>
      </c>
      <c r="N426" s="13">
        <f>IF(AND(ISNUMBER(D426),ISNUMBER(Parametry!$G$6)),IF(AND(YEAR(D426)=Parametry!$G$6,M426&lt;=Parametry!$G$7),1,0),0)</f>
        <v>0</v>
      </c>
      <c r="O426" s="13">
        <f>IF(C426="",IF(COUNTA(D426:J426)&gt;0,1,0),IF(OR(COUNTIFS($C$9:$C$1008,C426)&lt;&gt;1,NOT(ISNUMBER(D426)),NOT(ISNUMBER(I426)),L426="",AND(F426&lt;&gt;"",COUNTIFS(Umowy!$C$9:$C$108,F426,Umowy!$D$9:$D$108,L426)&lt;&gt;1)),1,0))</f>
        <v>0</v>
      </c>
      <c r="P426" s="7" t="str">
        <f t="shared" si="19"/>
        <v/>
      </c>
      <c r="Q426" s="7" t="str">
        <f t="shared" si="20"/>
        <v/>
      </c>
    </row>
    <row r="427" spans="1:17" ht="24" customHeight="1">
      <c r="A427" s="7"/>
      <c r="B427" s="7"/>
      <c r="C427" s="3"/>
      <c r="D427" s="2"/>
      <c r="E427" s="3"/>
      <c r="F427" s="3"/>
      <c r="G427" s="3"/>
      <c r="H427" s="3"/>
      <c r="I427" s="6"/>
      <c r="J427" s="3"/>
      <c r="K427" s="7"/>
      <c r="L427" s="13" t="str">
        <f>IF(C427="","",IF(COUNTIFS(Parametry!$C$54:$C$113,E427)=1,INDEX(Parametry!$D$54:$D$113,MATCH(E427,Parametry!$C$54:$C$113,0)),""))</f>
        <v/>
      </c>
      <c r="M427" s="7">
        <f t="shared" si="18"/>
        <v>0</v>
      </c>
      <c r="N427" s="13">
        <f>IF(AND(ISNUMBER(D427),ISNUMBER(Parametry!$G$6)),IF(AND(YEAR(D427)=Parametry!$G$6,M427&lt;=Parametry!$G$7),1,0),0)</f>
        <v>0</v>
      </c>
      <c r="O427" s="13">
        <f>IF(C427="",IF(COUNTA(D427:J427)&gt;0,1,0),IF(OR(COUNTIFS($C$9:$C$1008,C427)&lt;&gt;1,NOT(ISNUMBER(D427)),NOT(ISNUMBER(I427)),L427="",AND(F427&lt;&gt;"",COUNTIFS(Umowy!$C$9:$C$108,F427,Umowy!$D$9:$D$108,L427)&lt;&gt;1)),1,0))</f>
        <v>0</v>
      </c>
      <c r="P427" s="7" t="str">
        <f t="shared" si="19"/>
        <v/>
      </c>
      <c r="Q427" s="7" t="str">
        <f t="shared" si="20"/>
        <v/>
      </c>
    </row>
    <row r="428" spans="1:17" ht="24" customHeight="1">
      <c r="A428" s="7"/>
      <c r="B428" s="7"/>
      <c r="C428" s="3"/>
      <c r="D428" s="2"/>
      <c r="E428" s="3"/>
      <c r="F428" s="3"/>
      <c r="G428" s="3"/>
      <c r="H428" s="3"/>
      <c r="I428" s="6"/>
      <c r="J428" s="3"/>
      <c r="K428" s="7"/>
      <c r="L428" s="13" t="str">
        <f>IF(C428="","",IF(COUNTIFS(Parametry!$C$54:$C$113,E428)=1,INDEX(Parametry!$D$54:$D$113,MATCH(E428,Parametry!$C$54:$C$113,0)),""))</f>
        <v/>
      </c>
      <c r="M428" s="7">
        <f t="shared" si="18"/>
        <v>0</v>
      </c>
      <c r="N428" s="13">
        <f>IF(AND(ISNUMBER(D428),ISNUMBER(Parametry!$G$6)),IF(AND(YEAR(D428)=Parametry!$G$6,M428&lt;=Parametry!$G$7),1,0),0)</f>
        <v>0</v>
      </c>
      <c r="O428" s="13">
        <f>IF(C428="",IF(COUNTA(D428:J428)&gt;0,1,0),IF(OR(COUNTIFS($C$9:$C$1008,C428)&lt;&gt;1,NOT(ISNUMBER(D428)),NOT(ISNUMBER(I428)),L428="",AND(F428&lt;&gt;"",COUNTIFS(Umowy!$C$9:$C$108,F428,Umowy!$D$9:$D$108,L428)&lt;&gt;1)),1,0))</f>
        <v>0</v>
      </c>
      <c r="P428" s="7" t="str">
        <f t="shared" si="19"/>
        <v/>
      </c>
      <c r="Q428" s="7" t="str">
        <f t="shared" si="20"/>
        <v/>
      </c>
    </row>
    <row r="429" spans="1:17" ht="24" customHeight="1">
      <c r="A429" s="7"/>
      <c r="B429" s="7"/>
      <c r="C429" s="3"/>
      <c r="D429" s="2"/>
      <c r="E429" s="3"/>
      <c r="F429" s="3"/>
      <c r="G429" s="3"/>
      <c r="H429" s="3"/>
      <c r="I429" s="6"/>
      <c r="J429" s="3"/>
      <c r="K429" s="7"/>
      <c r="L429" s="13" t="str">
        <f>IF(C429="","",IF(COUNTIFS(Parametry!$C$54:$C$113,E429)=1,INDEX(Parametry!$D$54:$D$113,MATCH(E429,Parametry!$C$54:$C$113,0)),""))</f>
        <v/>
      </c>
      <c r="M429" s="7">
        <f t="shared" si="18"/>
        <v>0</v>
      </c>
      <c r="N429" s="13">
        <f>IF(AND(ISNUMBER(D429),ISNUMBER(Parametry!$G$6)),IF(AND(YEAR(D429)=Parametry!$G$6,M429&lt;=Parametry!$G$7),1,0),0)</f>
        <v>0</v>
      </c>
      <c r="O429" s="13">
        <f>IF(C429="",IF(COUNTA(D429:J429)&gt;0,1,0),IF(OR(COUNTIFS($C$9:$C$1008,C429)&lt;&gt;1,NOT(ISNUMBER(D429)),NOT(ISNUMBER(I429)),L429="",AND(F429&lt;&gt;"",COUNTIFS(Umowy!$C$9:$C$108,F429,Umowy!$D$9:$D$108,L429)&lt;&gt;1)),1,0))</f>
        <v>0</v>
      </c>
      <c r="P429" s="7" t="str">
        <f t="shared" si="19"/>
        <v/>
      </c>
      <c r="Q429" s="7" t="str">
        <f t="shared" si="20"/>
        <v/>
      </c>
    </row>
    <row r="430" spans="1:17" ht="24" customHeight="1">
      <c r="A430" s="7"/>
      <c r="B430" s="7"/>
      <c r="C430" s="3"/>
      <c r="D430" s="2"/>
      <c r="E430" s="3"/>
      <c r="F430" s="3"/>
      <c r="G430" s="3"/>
      <c r="H430" s="3"/>
      <c r="I430" s="6"/>
      <c r="J430" s="3"/>
      <c r="K430" s="7"/>
      <c r="L430" s="13" t="str">
        <f>IF(C430="","",IF(COUNTIFS(Parametry!$C$54:$C$113,E430)=1,INDEX(Parametry!$D$54:$D$113,MATCH(E430,Parametry!$C$54:$C$113,0)),""))</f>
        <v/>
      </c>
      <c r="M430" s="7">
        <f t="shared" si="18"/>
        <v>0</v>
      </c>
      <c r="N430" s="13">
        <f>IF(AND(ISNUMBER(D430),ISNUMBER(Parametry!$G$6)),IF(AND(YEAR(D430)=Parametry!$G$6,M430&lt;=Parametry!$G$7),1,0),0)</f>
        <v>0</v>
      </c>
      <c r="O430" s="13">
        <f>IF(C430="",IF(COUNTA(D430:J430)&gt;0,1,0),IF(OR(COUNTIFS($C$9:$C$1008,C430)&lt;&gt;1,NOT(ISNUMBER(D430)),NOT(ISNUMBER(I430)),L430="",AND(F430&lt;&gt;"",COUNTIFS(Umowy!$C$9:$C$108,F430,Umowy!$D$9:$D$108,L430)&lt;&gt;1)),1,0))</f>
        <v>0</v>
      </c>
      <c r="P430" s="7" t="str">
        <f t="shared" si="19"/>
        <v/>
      </c>
      <c r="Q430" s="7" t="str">
        <f t="shared" si="20"/>
        <v/>
      </c>
    </row>
    <row r="431" spans="1:17" ht="24" customHeight="1">
      <c r="A431" s="7"/>
      <c r="B431" s="7"/>
      <c r="C431" s="3"/>
      <c r="D431" s="2"/>
      <c r="E431" s="3"/>
      <c r="F431" s="3"/>
      <c r="G431" s="3"/>
      <c r="H431" s="3"/>
      <c r="I431" s="6"/>
      <c r="J431" s="3"/>
      <c r="K431" s="7"/>
      <c r="L431" s="13" t="str">
        <f>IF(C431="","",IF(COUNTIFS(Parametry!$C$54:$C$113,E431)=1,INDEX(Parametry!$D$54:$D$113,MATCH(E431,Parametry!$C$54:$C$113,0)),""))</f>
        <v/>
      </c>
      <c r="M431" s="7">
        <f t="shared" si="18"/>
        <v>0</v>
      </c>
      <c r="N431" s="13">
        <f>IF(AND(ISNUMBER(D431),ISNUMBER(Parametry!$G$6)),IF(AND(YEAR(D431)=Parametry!$G$6,M431&lt;=Parametry!$G$7),1,0),0)</f>
        <v>0</v>
      </c>
      <c r="O431" s="13">
        <f>IF(C431="",IF(COUNTA(D431:J431)&gt;0,1,0),IF(OR(COUNTIFS($C$9:$C$1008,C431)&lt;&gt;1,NOT(ISNUMBER(D431)),NOT(ISNUMBER(I431)),L431="",AND(F431&lt;&gt;"",COUNTIFS(Umowy!$C$9:$C$108,F431,Umowy!$D$9:$D$108,L431)&lt;&gt;1)),1,0))</f>
        <v>0</v>
      </c>
      <c r="P431" s="7" t="str">
        <f t="shared" si="19"/>
        <v/>
      </c>
      <c r="Q431" s="7" t="str">
        <f t="shared" si="20"/>
        <v/>
      </c>
    </row>
    <row r="432" spans="1:17" ht="24" customHeight="1">
      <c r="A432" s="7"/>
      <c r="B432" s="7"/>
      <c r="C432" s="3"/>
      <c r="D432" s="2"/>
      <c r="E432" s="3"/>
      <c r="F432" s="3"/>
      <c r="G432" s="3"/>
      <c r="H432" s="3"/>
      <c r="I432" s="6"/>
      <c r="J432" s="3"/>
      <c r="K432" s="7"/>
      <c r="L432" s="13" t="str">
        <f>IF(C432="","",IF(COUNTIFS(Parametry!$C$54:$C$113,E432)=1,INDEX(Parametry!$D$54:$D$113,MATCH(E432,Parametry!$C$54:$C$113,0)),""))</f>
        <v/>
      </c>
      <c r="M432" s="7">
        <f t="shared" si="18"/>
        <v>0</v>
      </c>
      <c r="N432" s="13">
        <f>IF(AND(ISNUMBER(D432),ISNUMBER(Parametry!$G$6)),IF(AND(YEAR(D432)=Parametry!$G$6,M432&lt;=Parametry!$G$7),1,0),0)</f>
        <v>0</v>
      </c>
      <c r="O432" s="13">
        <f>IF(C432="",IF(COUNTA(D432:J432)&gt;0,1,0),IF(OR(COUNTIFS($C$9:$C$1008,C432)&lt;&gt;1,NOT(ISNUMBER(D432)),NOT(ISNUMBER(I432)),L432="",AND(F432&lt;&gt;"",COUNTIFS(Umowy!$C$9:$C$108,F432,Umowy!$D$9:$D$108,L432)&lt;&gt;1)),1,0))</f>
        <v>0</v>
      </c>
      <c r="P432" s="7" t="str">
        <f t="shared" si="19"/>
        <v/>
      </c>
      <c r="Q432" s="7" t="str">
        <f t="shared" si="20"/>
        <v/>
      </c>
    </row>
    <row r="433" spans="1:17" ht="24" customHeight="1">
      <c r="A433" s="7"/>
      <c r="B433" s="7"/>
      <c r="C433" s="3"/>
      <c r="D433" s="2"/>
      <c r="E433" s="3"/>
      <c r="F433" s="3"/>
      <c r="G433" s="3"/>
      <c r="H433" s="3"/>
      <c r="I433" s="6"/>
      <c r="J433" s="3"/>
      <c r="K433" s="7"/>
      <c r="L433" s="13" t="str">
        <f>IF(C433="","",IF(COUNTIFS(Parametry!$C$54:$C$113,E433)=1,INDEX(Parametry!$D$54:$D$113,MATCH(E433,Parametry!$C$54:$C$113,0)),""))</f>
        <v/>
      </c>
      <c r="M433" s="7">
        <f t="shared" si="18"/>
        <v>0</v>
      </c>
      <c r="N433" s="13">
        <f>IF(AND(ISNUMBER(D433),ISNUMBER(Parametry!$G$6)),IF(AND(YEAR(D433)=Parametry!$G$6,M433&lt;=Parametry!$G$7),1,0),0)</f>
        <v>0</v>
      </c>
      <c r="O433" s="13">
        <f>IF(C433="",IF(COUNTA(D433:J433)&gt;0,1,0),IF(OR(COUNTIFS($C$9:$C$1008,C433)&lt;&gt;1,NOT(ISNUMBER(D433)),NOT(ISNUMBER(I433)),L433="",AND(F433&lt;&gt;"",COUNTIFS(Umowy!$C$9:$C$108,F433,Umowy!$D$9:$D$108,L433)&lt;&gt;1)),1,0))</f>
        <v>0</v>
      </c>
      <c r="P433" s="7" t="str">
        <f t="shared" si="19"/>
        <v/>
      </c>
      <c r="Q433" s="7" t="str">
        <f t="shared" si="20"/>
        <v/>
      </c>
    </row>
    <row r="434" spans="1:17" ht="24" customHeight="1">
      <c r="A434" s="7"/>
      <c r="B434" s="7"/>
      <c r="C434" s="3"/>
      <c r="D434" s="2"/>
      <c r="E434" s="3"/>
      <c r="F434" s="3"/>
      <c r="G434" s="3"/>
      <c r="H434" s="3"/>
      <c r="I434" s="6"/>
      <c r="J434" s="3"/>
      <c r="K434" s="7"/>
      <c r="L434" s="13" t="str">
        <f>IF(C434="","",IF(COUNTIFS(Parametry!$C$54:$C$113,E434)=1,INDEX(Parametry!$D$54:$D$113,MATCH(E434,Parametry!$C$54:$C$113,0)),""))</f>
        <v/>
      </c>
      <c r="M434" s="7">
        <f t="shared" si="18"/>
        <v>0</v>
      </c>
      <c r="N434" s="13">
        <f>IF(AND(ISNUMBER(D434),ISNUMBER(Parametry!$G$6)),IF(AND(YEAR(D434)=Parametry!$G$6,M434&lt;=Parametry!$G$7),1,0),0)</f>
        <v>0</v>
      </c>
      <c r="O434" s="13">
        <f>IF(C434="",IF(COUNTA(D434:J434)&gt;0,1,0),IF(OR(COUNTIFS($C$9:$C$1008,C434)&lt;&gt;1,NOT(ISNUMBER(D434)),NOT(ISNUMBER(I434)),L434="",AND(F434&lt;&gt;"",COUNTIFS(Umowy!$C$9:$C$108,F434,Umowy!$D$9:$D$108,L434)&lt;&gt;1)),1,0))</f>
        <v>0</v>
      </c>
      <c r="P434" s="7" t="str">
        <f t="shared" si="19"/>
        <v/>
      </c>
      <c r="Q434" s="7" t="str">
        <f t="shared" si="20"/>
        <v/>
      </c>
    </row>
    <row r="435" spans="1:17" ht="24" customHeight="1">
      <c r="A435" s="7"/>
      <c r="B435" s="7"/>
      <c r="C435" s="3"/>
      <c r="D435" s="2"/>
      <c r="E435" s="3"/>
      <c r="F435" s="3"/>
      <c r="G435" s="3"/>
      <c r="H435" s="3"/>
      <c r="I435" s="6"/>
      <c r="J435" s="3"/>
      <c r="K435" s="7"/>
      <c r="L435" s="13" t="str">
        <f>IF(C435="","",IF(COUNTIFS(Parametry!$C$54:$C$113,E435)=1,INDEX(Parametry!$D$54:$D$113,MATCH(E435,Parametry!$C$54:$C$113,0)),""))</f>
        <v/>
      </c>
      <c r="M435" s="7">
        <f t="shared" si="18"/>
        <v>0</v>
      </c>
      <c r="N435" s="13">
        <f>IF(AND(ISNUMBER(D435),ISNUMBER(Parametry!$G$6)),IF(AND(YEAR(D435)=Parametry!$G$6,M435&lt;=Parametry!$G$7),1,0),0)</f>
        <v>0</v>
      </c>
      <c r="O435" s="13">
        <f>IF(C435="",IF(COUNTA(D435:J435)&gt;0,1,0),IF(OR(COUNTIFS($C$9:$C$1008,C435)&lt;&gt;1,NOT(ISNUMBER(D435)),NOT(ISNUMBER(I435)),L435="",AND(F435&lt;&gt;"",COUNTIFS(Umowy!$C$9:$C$108,F435,Umowy!$D$9:$D$108,L435)&lt;&gt;1)),1,0))</f>
        <v>0</v>
      </c>
      <c r="P435" s="7" t="str">
        <f t="shared" si="19"/>
        <v/>
      </c>
      <c r="Q435" s="7" t="str">
        <f t="shared" si="20"/>
        <v/>
      </c>
    </row>
    <row r="436" spans="1:17" ht="24" customHeight="1">
      <c r="A436" s="7"/>
      <c r="B436" s="7"/>
      <c r="C436" s="3"/>
      <c r="D436" s="2"/>
      <c r="E436" s="3"/>
      <c r="F436" s="3"/>
      <c r="G436" s="3"/>
      <c r="H436" s="3"/>
      <c r="I436" s="6"/>
      <c r="J436" s="3"/>
      <c r="K436" s="7"/>
      <c r="L436" s="13" t="str">
        <f>IF(C436="","",IF(COUNTIFS(Parametry!$C$54:$C$113,E436)=1,INDEX(Parametry!$D$54:$D$113,MATCH(E436,Parametry!$C$54:$C$113,0)),""))</f>
        <v/>
      </c>
      <c r="M436" s="7">
        <f t="shared" si="18"/>
        <v>0</v>
      </c>
      <c r="N436" s="13">
        <f>IF(AND(ISNUMBER(D436),ISNUMBER(Parametry!$G$6)),IF(AND(YEAR(D436)=Parametry!$G$6,M436&lt;=Parametry!$G$7),1,0),0)</f>
        <v>0</v>
      </c>
      <c r="O436" s="13">
        <f>IF(C436="",IF(COUNTA(D436:J436)&gt;0,1,0),IF(OR(COUNTIFS($C$9:$C$1008,C436)&lt;&gt;1,NOT(ISNUMBER(D436)),NOT(ISNUMBER(I436)),L436="",AND(F436&lt;&gt;"",COUNTIFS(Umowy!$C$9:$C$108,F436,Umowy!$D$9:$D$108,L436)&lt;&gt;1)),1,0))</f>
        <v>0</v>
      </c>
      <c r="P436" s="7" t="str">
        <f t="shared" si="19"/>
        <v/>
      </c>
      <c r="Q436" s="7" t="str">
        <f t="shared" si="20"/>
        <v/>
      </c>
    </row>
    <row r="437" spans="1:17" ht="24" customHeight="1">
      <c r="A437" s="7"/>
      <c r="B437" s="7"/>
      <c r="C437" s="3"/>
      <c r="D437" s="2"/>
      <c r="E437" s="3"/>
      <c r="F437" s="3"/>
      <c r="G437" s="3"/>
      <c r="H437" s="3"/>
      <c r="I437" s="6"/>
      <c r="J437" s="3"/>
      <c r="K437" s="7"/>
      <c r="L437" s="13" t="str">
        <f>IF(C437="","",IF(COUNTIFS(Parametry!$C$54:$C$113,E437)=1,INDEX(Parametry!$D$54:$D$113,MATCH(E437,Parametry!$C$54:$C$113,0)),""))</f>
        <v/>
      </c>
      <c r="M437" s="7">
        <f t="shared" si="18"/>
        <v>0</v>
      </c>
      <c r="N437" s="13">
        <f>IF(AND(ISNUMBER(D437),ISNUMBER(Parametry!$G$6)),IF(AND(YEAR(D437)=Parametry!$G$6,M437&lt;=Parametry!$G$7),1,0),0)</f>
        <v>0</v>
      </c>
      <c r="O437" s="13">
        <f>IF(C437="",IF(COUNTA(D437:J437)&gt;0,1,0),IF(OR(COUNTIFS($C$9:$C$1008,C437)&lt;&gt;1,NOT(ISNUMBER(D437)),NOT(ISNUMBER(I437)),L437="",AND(F437&lt;&gt;"",COUNTIFS(Umowy!$C$9:$C$108,F437,Umowy!$D$9:$D$108,L437)&lt;&gt;1)),1,0))</f>
        <v>0</v>
      </c>
      <c r="P437" s="7" t="str">
        <f t="shared" si="19"/>
        <v/>
      </c>
      <c r="Q437" s="7" t="str">
        <f t="shared" si="20"/>
        <v/>
      </c>
    </row>
    <row r="438" spans="1:17" ht="24" customHeight="1">
      <c r="A438" s="7"/>
      <c r="B438" s="7"/>
      <c r="C438" s="3"/>
      <c r="D438" s="2"/>
      <c r="E438" s="3"/>
      <c r="F438" s="3"/>
      <c r="G438" s="3"/>
      <c r="H438" s="3"/>
      <c r="I438" s="6"/>
      <c r="J438" s="3"/>
      <c r="K438" s="7"/>
      <c r="L438" s="13" t="str">
        <f>IF(C438="","",IF(COUNTIFS(Parametry!$C$54:$C$113,E438)=1,INDEX(Parametry!$D$54:$D$113,MATCH(E438,Parametry!$C$54:$C$113,0)),""))</f>
        <v/>
      </c>
      <c r="M438" s="7">
        <f t="shared" si="18"/>
        <v>0</v>
      </c>
      <c r="N438" s="13">
        <f>IF(AND(ISNUMBER(D438),ISNUMBER(Parametry!$G$6)),IF(AND(YEAR(D438)=Parametry!$G$6,M438&lt;=Parametry!$G$7),1,0),0)</f>
        <v>0</v>
      </c>
      <c r="O438" s="13">
        <f>IF(C438="",IF(COUNTA(D438:J438)&gt;0,1,0),IF(OR(COUNTIFS($C$9:$C$1008,C438)&lt;&gt;1,NOT(ISNUMBER(D438)),NOT(ISNUMBER(I438)),L438="",AND(F438&lt;&gt;"",COUNTIFS(Umowy!$C$9:$C$108,F438,Umowy!$D$9:$D$108,L438)&lt;&gt;1)),1,0))</f>
        <v>0</v>
      </c>
      <c r="P438" s="7" t="str">
        <f t="shared" si="19"/>
        <v/>
      </c>
      <c r="Q438" s="7" t="str">
        <f t="shared" si="20"/>
        <v/>
      </c>
    </row>
    <row r="439" spans="1:17" ht="24" customHeight="1">
      <c r="A439" s="7"/>
      <c r="B439" s="7"/>
      <c r="C439" s="3"/>
      <c r="D439" s="2"/>
      <c r="E439" s="3"/>
      <c r="F439" s="3"/>
      <c r="G439" s="3"/>
      <c r="H439" s="3"/>
      <c r="I439" s="6"/>
      <c r="J439" s="3"/>
      <c r="K439" s="7"/>
      <c r="L439" s="13" t="str">
        <f>IF(C439="","",IF(COUNTIFS(Parametry!$C$54:$C$113,E439)=1,INDEX(Parametry!$D$54:$D$113,MATCH(E439,Parametry!$C$54:$C$113,0)),""))</f>
        <v/>
      </c>
      <c r="M439" s="7">
        <f t="shared" si="18"/>
        <v>0</v>
      </c>
      <c r="N439" s="13">
        <f>IF(AND(ISNUMBER(D439),ISNUMBER(Parametry!$G$6)),IF(AND(YEAR(D439)=Parametry!$G$6,M439&lt;=Parametry!$G$7),1,0),0)</f>
        <v>0</v>
      </c>
      <c r="O439" s="13">
        <f>IF(C439="",IF(COUNTA(D439:J439)&gt;0,1,0),IF(OR(COUNTIFS($C$9:$C$1008,C439)&lt;&gt;1,NOT(ISNUMBER(D439)),NOT(ISNUMBER(I439)),L439="",AND(F439&lt;&gt;"",COUNTIFS(Umowy!$C$9:$C$108,F439,Umowy!$D$9:$D$108,L439)&lt;&gt;1)),1,0))</f>
        <v>0</v>
      </c>
      <c r="P439" s="7" t="str">
        <f t="shared" si="19"/>
        <v/>
      </c>
      <c r="Q439" s="7" t="str">
        <f t="shared" si="20"/>
        <v/>
      </c>
    </row>
    <row r="440" spans="1:17" ht="24" customHeight="1">
      <c r="A440" s="7"/>
      <c r="B440" s="7"/>
      <c r="C440" s="3"/>
      <c r="D440" s="2"/>
      <c r="E440" s="3"/>
      <c r="F440" s="3"/>
      <c r="G440" s="3"/>
      <c r="H440" s="3"/>
      <c r="I440" s="6"/>
      <c r="J440" s="3"/>
      <c r="K440" s="7"/>
      <c r="L440" s="13" t="str">
        <f>IF(C440="","",IF(COUNTIFS(Parametry!$C$54:$C$113,E440)=1,INDEX(Parametry!$D$54:$D$113,MATCH(E440,Parametry!$C$54:$C$113,0)),""))</f>
        <v/>
      </c>
      <c r="M440" s="7">
        <f t="shared" si="18"/>
        <v>0</v>
      </c>
      <c r="N440" s="13">
        <f>IF(AND(ISNUMBER(D440),ISNUMBER(Parametry!$G$6)),IF(AND(YEAR(D440)=Parametry!$G$6,M440&lt;=Parametry!$G$7),1,0),0)</f>
        <v>0</v>
      </c>
      <c r="O440" s="13">
        <f>IF(C440="",IF(COUNTA(D440:J440)&gt;0,1,0),IF(OR(COUNTIFS($C$9:$C$1008,C440)&lt;&gt;1,NOT(ISNUMBER(D440)),NOT(ISNUMBER(I440)),L440="",AND(F440&lt;&gt;"",COUNTIFS(Umowy!$C$9:$C$108,F440,Umowy!$D$9:$D$108,L440)&lt;&gt;1)),1,0))</f>
        <v>0</v>
      </c>
      <c r="P440" s="7" t="str">
        <f t="shared" si="19"/>
        <v/>
      </c>
      <c r="Q440" s="7" t="str">
        <f t="shared" si="20"/>
        <v/>
      </c>
    </row>
    <row r="441" spans="1:17" ht="24" customHeight="1">
      <c r="A441" s="7"/>
      <c r="B441" s="7"/>
      <c r="C441" s="3"/>
      <c r="D441" s="2"/>
      <c r="E441" s="3"/>
      <c r="F441" s="3"/>
      <c r="G441" s="3"/>
      <c r="H441" s="3"/>
      <c r="I441" s="6"/>
      <c r="J441" s="3"/>
      <c r="K441" s="7"/>
      <c r="L441" s="13" t="str">
        <f>IF(C441="","",IF(COUNTIFS(Parametry!$C$54:$C$113,E441)=1,INDEX(Parametry!$D$54:$D$113,MATCH(E441,Parametry!$C$54:$C$113,0)),""))</f>
        <v/>
      </c>
      <c r="M441" s="7">
        <f t="shared" si="18"/>
        <v>0</v>
      </c>
      <c r="N441" s="13">
        <f>IF(AND(ISNUMBER(D441),ISNUMBER(Parametry!$G$6)),IF(AND(YEAR(D441)=Parametry!$G$6,M441&lt;=Parametry!$G$7),1,0),0)</f>
        <v>0</v>
      </c>
      <c r="O441" s="13">
        <f>IF(C441="",IF(COUNTA(D441:J441)&gt;0,1,0),IF(OR(COUNTIFS($C$9:$C$1008,C441)&lt;&gt;1,NOT(ISNUMBER(D441)),NOT(ISNUMBER(I441)),L441="",AND(F441&lt;&gt;"",COUNTIFS(Umowy!$C$9:$C$108,F441,Umowy!$D$9:$D$108,L441)&lt;&gt;1)),1,0))</f>
        <v>0</v>
      </c>
      <c r="P441" s="7" t="str">
        <f t="shared" si="19"/>
        <v/>
      </c>
      <c r="Q441" s="7" t="str">
        <f t="shared" si="20"/>
        <v/>
      </c>
    </row>
    <row r="442" spans="1:17" ht="24" customHeight="1">
      <c r="A442" s="7"/>
      <c r="B442" s="7"/>
      <c r="C442" s="3"/>
      <c r="D442" s="2"/>
      <c r="E442" s="3"/>
      <c r="F442" s="3"/>
      <c r="G442" s="3"/>
      <c r="H442" s="3"/>
      <c r="I442" s="6"/>
      <c r="J442" s="3"/>
      <c r="K442" s="7"/>
      <c r="L442" s="13" t="str">
        <f>IF(C442="","",IF(COUNTIFS(Parametry!$C$54:$C$113,E442)=1,INDEX(Parametry!$D$54:$D$113,MATCH(E442,Parametry!$C$54:$C$113,0)),""))</f>
        <v/>
      </c>
      <c r="M442" s="7">
        <f t="shared" si="18"/>
        <v>0</v>
      </c>
      <c r="N442" s="13">
        <f>IF(AND(ISNUMBER(D442),ISNUMBER(Parametry!$G$6)),IF(AND(YEAR(D442)=Parametry!$G$6,M442&lt;=Parametry!$G$7),1,0),0)</f>
        <v>0</v>
      </c>
      <c r="O442" s="13">
        <f>IF(C442="",IF(COUNTA(D442:J442)&gt;0,1,0),IF(OR(COUNTIFS($C$9:$C$1008,C442)&lt;&gt;1,NOT(ISNUMBER(D442)),NOT(ISNUMBER(I442)),L442="",AND(F442&lt;&gt;"",COUNTIFS(Umowy!$C$9:$C$108,F442,Umowy!$D$9:$D$108,L442)&lt;&gt;1)),1,0))</f>
        <v>0</v>
      </c>
      <c r="P442" s="7" t="str">
        <f t="shared" si="19"/>
        <v/>
      </c>
      <c r="Q442" s="7" t="str">
        <f t="shared" si="20"/>
        <v/>
      </c>
    </row>
    <row r="443" spans="1:17" ht="24" customHeight="1">
      <c r="A443" s="7"/>
      <c r="B443" s="7"/>
      <c r="C443" s="3"/>
      <c r="D443" s="2"/>
      <c r="E443" s="3"/>
      <c r="F443" s="3"/>
      <c r="G443" s="3"/>
      <c r="H443" s="3"/>
      <c r="I443" s="6"/>
      <c r="J443" s="3"/>
      <c r="K443" s="7"/>
      <c r="L443" s="13" t="str">
        <f>IF(C443="","",IF(COUNTIFS(Parametry!$C$54:$C$113,E443)=1,INDEX(Parametry!$D$54:$D$113,MATCH(E443,Parametry!$C$54:$C$113,0)),""))</f>
        <v/>
      </c>
      <c r="M443" s="7">
        <f t="shared" si="18"/>
        <v>0</v>
      </c>
      <c r="N443" s="13">
        <f>IF(AND(ISNUMBER(D443),ISNUMBER(Parametry!$G$6)),IF(AND(YEAR(D443)=Parametry!$G$6,M443&lt;=Parametry!$G$7),1,0),0)</f>
        <v>0</v>
      </c>
      <c r="O443" s="13">
        <f>IF(C443="",IF(COUNTA(D443:J443)&gt;0,1,0),IF(OR(COUNTIFS($C$9:$C$1008,C443)&lt;&gt;1,NOT(ISNUMBER(D443)),NOT(ISNUMBER(I443)),L443="",AND(F443&lt;&gt;"",COUNTIFS(Umowy!$C$9:$C$108,F443,Umowy!$D$9:$D$108,L443)&lt;&gt;1)),1,0))</f>
        <v>0</v>
      </c>
      <c r="P443" s="7" t="str">
        <f t="shared" si="19"/>
        <v/>
      </c>
      <c r="Q443" s="7" t="str">
        <f t="shared" si="20"/>
        <v/>
      </c>
    </row>
    <row r="444" spans="1:17" ht="24" customHeight="1">
      <c r="A444" s="7"/>
      <c r="B444" s="7"/>
      <c r="C444" s="3"/>
      <c r="D444" s="2"/>
      <c r="E444" s="3"/>
      <c r="F444" s="3"/>
      <c r="G444" s="3"/>
      <c r="H444" s="3"/>
      <c r="I444" s="6"/>
      <c r="J444" s="3"/>
      <c r="K444" s="7"/>
      <c r="L444" s="13" t="str">
        <f>IF(C444="","",IF(COUNTIFS(Parametry!$C$54:$C$113,E444)=1,INDEX(Parametry!$D$54:$D$113,MATCH(E444,Parametry!$C$54:$C$113,0)),""))</f>
        <v/>
      </c>
      <c r="M444" s="7">
        <f t="shared" si="18"/>
        <v>0</v>
      </c>
      <c r="N444" s="13">
        <f>IF(AND(ISNUMBER(D444),ISNUMBER(Parametry!$G$6)),IF(AND(YEAR(D444)=Parametry!$G$6,M444&lt;=Parametry!$G$7),1,0),0)</f>
        <v>0</v>
      </c>
      <c r="O444" s="13">
        <f>IF(C444="",IF(COUNTA(D444:J444)&gt;0,1,0),IF(OR(COUNTIFS($C$9:$C$1008,C444)&lt;&gt;1,NOT(ISNUMBER(D444)),NOT(ISNUMBER(I444)),L444="",AND(F444&lt;&gt;"",COUNTIFS(Umowy!$C$9:$C$108,F444,Umowy!$D$9:$D$108,L444)&lt;&gt;1)),1,0))</f>
        <v>0</v>
      </c>
      <c r="P444" s="7" t="str">
        <f t="shared" si="19"/>
        <v/>
      </c>
      <c r="Q444" s="7" t="str">
        <f t="shared" si="20"/>
        <v/>
      </c>
    </row>
    <row r="445" spans="1:17" ht="24" customHeight="1">
      <c r="A445" s="7"/>
      <c r="B445" s="7"/>
      <c r="C445" s="3"/>
      <c r="D445" s="2"/>
      <c r="E445" s="3"/>
      <c r="F445" s="3"/>
      <c r="G445" s="3"/>
      <c r="H445" s="3"/>
      <c r="I445" s="6"/>
      <c r="J445" s="3"/>
      <c r="K445" s="7"/>
      <c r="L445" s="13" t="str">
        <f>IF(C445="","",IF(COUNTIFS(Parametry!$C$54:$C$113,E445)=1,INDEX(Parametry!$D$54:$D$113,MATCH(E445,Parametry!$C$54:$C$113,0)),""))</f>
        <v/>
      </c>
      <c r="M445" s="7">
        <f t="shared" si="18"/>
        <v>0</v>
      </c>
      <c r="N445" s="13">
        <f>IF(AND(ISNUMBER(D445),ISNUMBER(Parametry!$G$6)),IF(AND(YEAR(D445)=Parametry!$G$6,M445&lt;=Parametry!$G$7),1,0),0)</f>
        <v>0</v>
      </c>
      <c r="O445" s="13">
        <f>IF(C445="",IF(COUNTA(D445:J445)&gt;0,1,0),IF(OR(COUNTIFS($C$9:$C$1008,C445)&lt;&gt;1,NOT(ISNUMBER(D445)),NOT(ISNUMBER(I445)),L445="",AND(F445&lt;&gt;"",COUNTIFS(Umowy!$C$9:$C$108,F445,Umowy!$D$9:$D$108,L445)&lt;&gt;1)),1,0))</f>
        <v>0</v>
      </c>
      <c r="P445" s="7" t="str">
        <f t="shared" si="19"/>
        <v/>
      </c>
      <c r="Q445" s="7" t="str">
        <f t="shared" si="20"/>
        <v/>
      </c>
    </row>
    <row r="446" spans="1:17" ht="24" customHeight="1">
      <c r="A446" s="7"/>
      <c r="B446" s="7"/>
      <c r="C446" s="3"/>
      <c r="D446" s="2"/>
      <c r="E446" s="3"/>
      <c r="F446" s="3"/>
      <c r="G446" s="3"/>
      <c r="H446" s="3"/>
      <c r="I446" s="6"/>
      <c r="J446" s="3"/>
      <c r="K446" s="7"/>
      <c r="L446" s="13" t="str">
        <f>IF(C446="","",IF(COUNTIFS(Parametry!$C$54:$C$113,E446)=1,INDEX(Parametry!$D$54:$D$113,MATCH(E446,Parametry!$C$54:$C$113,0)),""))</f>
        <v/>
      </c>
      <c r="M446" s="7">
        <f t="shared" si="18"/>
        <v>0</v>
      </c>
      <c r="N446" s="13">
        <f>IF(AND(ISNUMBER(D446),ISNUMBER(Parametry!$G$6)),IF(AND(YEAR(D446)=Parametry!$G$6,M446&lt;=Parametry!$G$7),1,0),0)</f>
        <v>0</v>
      </c>
      <c r="O446" s="13">
        <f>IF(C446="",IF(COUNTA(D446:J446)&gt;0,1,0),IF(OR(COUNTIFS($C$9:$C$1008,C446)&lt;&gt;1,NOT(ISNUMBER(D446)),NOT(ISNUMBER(I446)),L446="",AND(F446&lt;&gt;"",COUNTIFS(Umowy!$C$9:$C$108,F446,Umowy!$D$9:$D$108,L446)&lt;&gt;1)),1,0))</f>
        <v>0</v>
      </c>
      <c r="P446" s="7" t="str">
        <f t="shared" si="19"/>
        <v/>
      </c>
      <c r="Q446" s="7" t="str">
        <f t="shared" si="20"/>
        <v/>
      </c>
    </row>
    <row r="447" spans="1:17" ht="24" customHeight="1">
      <c r="A447" s="7"/>
      <c r="B447" s="7"/>
      <c r="C447" s="3"/>
      <c r="D447" s="2"/>
      <c r="E447" s="3"/>
      <c r="F447" s="3"/>
      <c r="G447" s="3"/>
      <c r="H447" s="3"/>
      <c r="I447" s="6"/>
      <c r="J447" s="3"/>
      <c r="K447" s="7"/>
      <c r="L447" s="13" t="str">
        <f>IF(C447="","",IF(COUNTIFS(Parametry!$C$54:$C$113,E447)=1,INDEX(Parametry!$D$54:$D$113,MATCH(E447,Parametry!$C$54:$C$113,0)),""))</f>
        <v/>
      </c>
      <c r="M447" s="7">
        <f t="shared" si="18"/>
        <v>0</v>
      </c>
      <c r="N447" s="13">
        <f>IF(AND(ISNUMBER(D447),ISNUMBER(Parametry!$G$6)),IF(AND(YEAR(D447)=Parametry!$G$6,M447&lt;=Parametry!$G$7),1,0),0)</f>
        <v>0</v>
      </c>
      <c r="O447" s="13">
        <f>IF(C447="",IF(COUNTA(D447:J447)&gt;0,1,0),IF(OR(COUNTIFS($C$9:$C$1008,C447)&lt;&gt;1,NOT(ISNUMBER(D447)),NOT(ISNUMBER(I447)),L447="",AND(F447&lt;&gt;"",COUNTIFS(Umowy!$C$9:$C$108,F447,Umowy!$D$9:$D$108,L447)&lt;&gt;1)),1,0))</f>
        <v>0</v>
      </c>
      <c r="P447" s="7" t="str">
        <f t="shared" si="19"/>
        <v/>
      </c>
      <c r="Q447" s="7" t="str">
        <f t="shared" si="20"/>
        <v/>
      </c>
    </row>
    <row r="448" spans="1:17" ht="24" customHeight="1">
      <c r="A448" s="7"/>
      <c r="B448" s="7"/>
      <c r="C448" s="3"/>
      <c r="D448" s="2"/>
      <c r="E448" s="3"/>
      <c r="F448" s="3"/>
      <c r="G448" s="3"/>
      <c r="H448" s="3"/>
      <c r="I448" s="6"/>
      <c r="J448" s="3"/>
      <c r="K448" s="7"/>
      <c r="L448" s="13" t="str">
        <f>IF(C448="","",IF(COUNTIFS(Parametry!$C$54:$C$113,E448)=1,INDEX(Parametry!$D$54:$D$113,MATCH(E448,Parametry!$C$54:$C$113,0)),""))</f>
        <v/>
      </c>
      <c r="M448" s="7">
        <f t="shared" si="18"/>
        <v>0</v>
      </c>
      <c r="N448" s="13">
        <f>IF(AND(ISNUMBER(D448),ISNUMBER(Parametry!$G$6)),IF(AND(YEAR(D448)=Parametry!$G$6,M448&lt;=Parametry!$G$7),1,0),0)</f>
        <v>0</v>
      </c>
      <c r="O448" s="13">
        <f>IF(C448="",IF(COUNTA(D448:J448)&gt;0,1,0),IF(OR(COUNTIFS($C$9:$C$1008,C448)&lt;&gt;1,NOT(ISNUMBER(D448)),NOT(ISNUMBER(I448)),L448="",AND(F448&lt;&gt;"",COUNTIFS(Umowy!$C$9:$C$108,F448,Umowy!$D$9:$D$108,L448)&lt;&gt;1)),1,0))</f>
        <v>0</v>
      </c>
      <c r="P448" s="7" t="str">
        <f t="shared" si="19"/>
        <v/>
      </c>
      <c r="Q448" s="7" t="str">
        <f t="shared" si="20"/>
        <v/>
      </c>
    </row>
    <row r="449" spans="1:17" ht="24" customHeight="1">
      <c r="A449" s="7"/>
      <c r="B449" s="7"/>
      <c r="C449" s="3"/>
      <c r="D449" s="2"/>
      <c r="E449" s="3"/>
      <c r="F449" s="3"/>
      <c r="G449" s="3"/>
      <c r="H449" s="3"/>
      <c r="I449" s="6"/>
      <c r="J449" s="3"/>
      <c r="K449" s="7"/>
      <c r="L449" s="13" t="str">
        <f>IF(C449="","",IF(COUNTIFS(Parametry!$C$54:$C$113,E449)=1,INDEX(Parametry!$D$54:$D$113,MATCH(E449,Parametry!$C$54:$C$113,0)),""))</f>
        <v/>
      </c>
      <c r="M449" s="7">
        <f t="shared" si="18"/>
        <v>0</v>
      </c>
      <c r="N449" s="13">
        <f>IF(AND(ISNUMBER(D449),ISNUMBER(Parametry!$G$6)),IF(AND(YEAR(D449)=Parametry!$G$6,M449&lt;=Parametry!$G$7),1,0),0)</f>
        <v>0</v>
      </c>
      <c r="O449" s="13">
        <f>IF(C449="",IF(COUNTA(D449:J449)&gt;0,1,0),IF(OR(COUNTIFS($C$9:$C$1008,C449)&lt;&gt;1,NOT(ISNUMBER(D449)),NOT(ISNUMBER(I449)),L449="",AND(F449&lt;&gt;"",COUNTIFS(Umowy!$C$9:$C$108,F449,Umowy!$D$9:$D$108,L449)&lt;&gt;1)),1,0))</f>
        <v>0</v>
      </c>
      <c r="P449" s="7" t="str">
        <f t="shared" si="19"/>
        <v/>
      </c>
      <c r="Q449" s="7" t="str">
        <f t="shared" si="20"/>
        <v/>
      </c>
    </row>
    <row r="450" spans="1:17" ht="24" customHeight="1">
      <c r="A450" s="7"/>
      <c r="B450" s="7"/>
      <c r="C450" s="3"/>
      <c r="D450" s="2"/>
      <c r="E450" s="3"/>
      <c r="F450" s="3"/>
      <c r="G450" s="3"/>
      <c r="H450" s="3"/>
      <c r="I450" s="6"/>
      <c r="J450" s="3"/>
      <c r="K450" s="7"/>
      <c r="L450" s="13" t="str">
        <f>IF(C450="","",IF(COUNTIFS(Parametry!$C$54:$C$113,E450)=1,INDEX(Parametry!$D$54:$D$113,MATCH(E450,Parametry!$C$54:$C$113,0)),""))</f>
        <v/>
      </c>
      <c r="M450" s="7">
        <f t="shared" si="18"/>
        <v>0</v>
      </c>
      <c r="N450" s="13">
        <f>IF(AND(ISNUMBER(D450),ISNUMBER(Parametry!$G$6)),IF(AND(YEAR(D450)=Parametry!$G$6,M450&lt;=Parametry!$G$7),1,0),0)</f>
        <v>0</v>
      </c>
      <c r="O450" s="13">
        <f>IF(C450="",IF(COUNTA(D450:J450)&gt;0,1,0),IF(OR(COUNTIFS($C$9:$C$1008,C450)&lt;&gt;1,NOT(ISNUMBER(D450)),NOT(ISNUMBER(I450)),L450="",AND(F450&lt;&gt;"",COUNTIFS(Umowy!$C$9:$C$108,F450,Umowy!$D$9:$D$108,L450)&lt;&gt;1)),1,0))</f>
        <v>0</v>
      </c>
      <c r="P450" s="7" t="str">
        <f t="shared" si="19"/>
        <v/>
      </c>
      <c r="Q450" s="7" t="str">
        <f t="shared" si="20"/>
        <v/>
      </c>
    </row>
    <row r="451" spans="1:17" ht="24" customHeight="1">
      <c r="A451" s="7"/>
      <c r="B451" s="7"/>
      <c r="C451" s="3"/>
      <c r="D451" s="2"/>
      <c r="E451" s="3"/>
      <c r="F451" s="3"/>
      <c r="G451" s="3"/>
      <c r="H451" s="3"/>
      <c r="I451" s="6"/>
      <c r="J451" s="3"/>
      <c r="K451" s="7"/>
      <c r="L451" s="13" t="str">
        <f>IF(C451="","",IF(COUNTIFS(Parametry!$C$54:$C$113,E451)=1,INDEX(Parametry!$D$54:$D$113,MATCH(E451,Parametry!$C$54:$C$113,0)),""))</f>
        <v/>
      </c>
      <c r="M451" s="7">
        <f t="shared" si="18"/>
        <v>0</v>
      </c>
      <c r="N451" s="13">
        <f>IF(AND(ISNUMBER(D451),ISNUMBER(Parametry!$G$6)),IF(AND(YEAR(D451)=Parametry!$G$6,M451&lt;=Parametry!$G$7),1,0),0)</f>
        <v>0</v>
      </c>
      <c r="O451" s="13">
        <f>IF(C451="",IF(COUNTA(D451:J451)&gt;0,1,0),IF(OR(COUNTIFS($C$9:$C$1008,C451)&lt;&gt;1,NOT(ISNUMBER(D451)),NOT(ISNUMBER(I451)),L451="",AND(F451&lt;&gt;"",COUNTIFS(Umowy!$C$9:$C$108,F451,Umowy!$D$9:$D$108,L451)&lt;&gt;1)),1,0))</f>
        <v>0</v>
      </c>
      <c r="P451" s="7" t="str">
        <f t="shared" si="19"/>
        <v/>
      </c>
      <c r="Q451" s="7" t="str">
        <f t="shared" si="20"/>
        <v/>
      </c>
    </row>
    <row r="452" spans="1:17" ht="24" customHeight="1">
      <c r="A452" s="7"/>
      <c r="B452" s="7"/>
      <c r="C452" s="3"/>
      <c r="D452" s="2"/>
      <c r="E452" s="3"/>
      <c r="F452" s="3"/>
      <c r="G452" s="3"/>
      <c r="H452" s="3"/>
      <c r="I452" s="6"/>
      <c r="J452" s="3"/>
      <c r="K452" s="7"/>
      <c r="L452" s="13" t="str">
        <f>IF(C452="","",IF(COUNTIFS(Parametry!$C$54:$C$113,E452)=1,INDEX(Parametry!$D$54:$D$113,MATCH(E452,Parametry!$C$54:$C$113,0)),""))</f>
        <v/>
      </c>
      <c r="M452" s="7">
        <f t="shared" si="18"/>
        <v>0</v>
      </c>
      <c r="N452" s="13">
        <f>IF(AND(ISNUMBER(D452),ISNUMBER(Parametry!$G$6)),IF(AND(YEAR(D452)=Parametry!$G$6,M452&lt;=Parametry!$G$7),1,0),0)</f>
        <v>0</v>
      </c>
      <c r="O452" s="13">
        <f>IF(C452="",IF(COUNTA(D452:J452)&gt;0,1,0),IF(OR(COUNTIFS($C$9:$C$1008,C452)&lt;&gt;1,NOT(ISNUMBER(D452)),NOT(ISNUMBER(I452)),L452="",AND(F452&lt;&gt;"",COUNTIFS(Umowy!$C$9:$C$108,F452,Umowy!$D$9:$D$108,L452)&lt;&gt;1)),1,0))</f>
        <v>0</v>
      </c>
      <c r="P452" s="7" t="str">
        <f t="shared" si="19"/>
        <v/>
      </c>
      <c r="Q452" s="7" t="str">
        <f t="shared" si="20"/>
        <v/>
      </c>
    </row>
    <row r="453" spans="1:17" ht="24" customHeight="1">
      <c r="A453" s="7"/>
      <c r="B453" s="7"/>
      <c r="C453" s="3"/>
      <c r="D453" s="2"/>
      <c r="E453" s="3"/>
      <c r="F453" s="3"/>
      <c r="G453" s="3"/>
      <c r="H453" s="3"/>
      <c r="I453" s="6"/>
      <c r="J453" s="3"/>
      <c r="K453" s="7"/>
      <c r="L453" s="13" t="str">
        <f>IF(C453="","",IF(COUNTIFS(Parametry!$C$54:$C$113,E453)=1,INDEX(Parametry!$D$54:$D$113,MATCH(E453,Parametry!$C$54:$C$113,0)),""))</f>
        <v/>
      </c>
      <c r="M453" s="7">
        <f t="shared" si="18"/>
        <v>0</v>
      </c>
      <c r="N453" s="13">
        <f>IF(AND(ISNUMBER(D453),ISNUMBER(Parametry!$G$6)),IF(AND(YEAR(D453)=Parametry!$G$6,M453&lt;=Parametry!$G$7),1,0),0)</f>
        <v>0</v>
      </c>
      <c r="O453" s="13">
        <f>IF(C453="",IF(COUNTA(D453:J453)&gt;0,1,0),IF(OR(COUNTIFS($C$9:$C$1008,C453)&lt;&gt;1,NOT(ISNUMBER(D453)),NOT(ISNUMBER(I453)),L453="",AND(F453&lt;&gt;"",COUNTIFS(Umowy!$C$9:$C$108,F453,Umowy!$D$9:$D$108,L453)&lt;&gt;1)),1,0))</f>
        <v>0</v>
      </c>
      <c r="P453" s="7" t="str">
        <f t="shared" si="19"/>
        <v/>
      </c>
      <c r="Q453" s="7" t="str">
        <f t="shared" si="20"/>
        <v/>
      </c>
    </row>
    <row r="454" spans="1:17" ht="24" customHeight="1">
      <c r="A454" s="7"/>
      <c r="B454" s="7"/>
      <c r="C454" s="3"/>
      <c r="D454" s="2"/>
      <c r="E454" s="3"/>
      <c r="F454" s="3"/>
      <c r="G454" s="3"/>
      <c r="H454" s="3"/>
      <c r="I454" s="6"/>
      <c r="J454" s="3"/>
      <c r="K454" s="7"/>
      <c r="L454" s="13" t="str">
        <f>IF(C454="","",IF(COUNTIFS(Parametry!$C$54:$C$113,E454)=1,INDEX(Parametry!$D$54:$D$113,MATCH(E454,Parametry!$C$54:$C$113,0)),""))</f>
        <v/>
      </c>
      <c r="M454" s="7">
        <f t="shared" si="18"/>
        <v>0</v>
      </c>
      <c r="N454" s="13">
        <f>IF(AND(ISNUMBER(D454),ISNUMBER(Parametry!$G$6)),IF(AND(YEAR(D454)=Parametry!$G$6,M454&lt;=Parametry!$G$7),1,0),0)</f>
        <v>0</v>
      </c>
      <c r="O454" s="13">
        <f>IF(C454="",IF(COUNTA(D454:J454)&gt;0,1,0),IF(OR(COUNTIFS($C$9:$C$1008,C454)&lt;&gt;1,NOT(ISNUMBER(D454)),NOT(ISNUMBER(I454)),L454="",AND(F454&lt;&gt;"",COUNTIFS(Umowy!$C$9:$C$108,F454,Umowy!$D$9:$D$108,L454)&lt;&gt;1)),1,0))</f>
        <v>0</v>
      </c>
      <c r="P454" s="7" t="str">
        <f t="shared" si="19"/>
        <v/>
      </c>
      <c r="Q454" s="7" t="str">
        <f t="shared" si="20"/>
        <v/>
      </c>
    </row>
    <row r="455" spans="1:17" ht="24" customHeight="1">
      <c r="A455" s="7"/>
      <c r="B455" s="7"/>
      <c r="C455" s="3"/>
      <c r="D455" s="2"/>
      <c r="E455" s="3"/>
      <c r="F455" s="3"/>
      <c r="G455" s="3"/>
      <c r="H455" s="3"/>
      <c r="I455" s="6"/>
      <c r="J455" s="3"/>
      <c r="K455" s="7"/>
      <c r="L455" s="13" t="str">
        <f>IF(C455="","",IF(COUNTIFS(Parametry!$C$54:$C$113,E455)=1,INDEX(Parametry!$D$54:$D$113,MATCH(E455,Parametry!$C$54:$C$113,0)),""))</f>
        <v/>
      </c>
      <c r="M455" s="7">
        <f t="shared" si="18"/>
        <v>0</v>
      </c>
      <c r="N455" s="13">
        <f>IF(AND(ISNUMBER(D455),ISNUMBER(Parametry!$G$6)),IF(AND(YEAR(D455)=Parametry!$G$6,M455&lt;=Parametry!$G$7),1,0),0)</f>
        <v>0</v>
      </c>
      <c r="O455" s="13">
        <f>IF(C455="",IF(COUNTA(D455:J455)&gt;0,1,0),IF(OR(COUNTIFS($C$9:$C$1008,C455)&lt;&gt;1,NOT(ISNUMBER(D455)),NOT(ISNUMBER(I455)),L455="",AND(F455&lt;&gt;"",COUNTIFS(Umowy!$C$9:$C$108,F455,Umowy!$D$9:$D$108,L455)&lt;&gt;1)),1,0))</f>
        <v>0</v>
      </c>
      <c r="P455" s="7" t="str">
        <f t="shared" si="19"/>
        <v/>
      </c>
      <c r="Q455" s="7" t="str">
        <f t="shared" si="20"/>
        <v/>
      </c>
    </row>
    <row r="456" spans="1:17" ht="24" customHeight="1">
      <c r="A456" s="7"/>
      <c r="B456" s="7"/>
      <c r="C456" s="3"/>
      <c r="D456" s="2"/>
      <c r="E456" s="3"/>
      <c r="F456" s="3"/>
      <c r="G456" s="3"/>
      <c r="H456" s="3"/>
      <c r="I456" s="6"/>
      <c r="J456" s="3"/>
      <c r="K456" s="7"/>
      <c r="L456" s="13" t="str">
        <f>IF(C456="","",IF(COUNTIFS(Parametry!$C$54:$C$113,E456)=1,INDEX(Parametry!$D$54:$D$113,MATCH(E456,Parametry!$C$54:$C$113,0)),""))</f>
        <v/>
      </c>
      <c r="M456" s="7">
        <f t="shared" si="18"/>
        <v>0</v>
      </c>
      <c r="N456" s="13">
        <f>IF(AND(ISNUMBER(D456),ISNUMBER(Parametry!$G$6)),IF(AND(YEAR(D456)=Parametry!$G$6,M456&lt;=Parametry!$G$7),1,0),0)</f>
        <v>0</v>
      </c>
      <c r="O456" s="13">
        <f>IF(C456="",IF(COUNTA(D456:J456)&gt;0,1,0),IF(OR(COUNTIFS($C$9:$C$1008,C456)&lt;&gt;1,NOT(ISNUMBER(D456)),NOT(ISNUMBER(I456)),L456="",AND(F456&lt;&gt;"",COUNTIFS(Umowy!$C$9:$C$108,F456,Umowy!$D$9:$D$108,L456)&lt;&gt;1)),1,0))</f>
        <v>0</v>
      </c>
      <c r="P456" s="7" t="str">
        <f t="shared" si="19"/>
        <v/>
      </c>
      <c r="Q456" s="7" t="str">
        <f t="shared" si="20"/>
        <v/>
      </c>
    </row>
    <row r="457" spans="1:17" ht="24" customHeight="1">
      <c r="A457" s="7"/>
      <c r="B457" s="7"/>
      <c r="C457" s="3"/>
      <c r="D457" s="2"/>
      <c r="E457" s="3"/>
      <c r="F457" s="3"/>
      <c r="G457" s="3"/>
      <c r="H457" s="3"/>
      <c r="I457" s="6"/>
      <c r="J457" s="3"/>
      <c r="K457" s="7"/>
      <c r="L457" s="13" t="str">
        <f>IF(C457="","",IF(COUNTIFS(Parametry!$C$54:$C$113,E457)=1,INDEX(Parametry!$D$54:$D$113,MATCH(E457,Parametry!$C$54:$C$113,0)),""))</f>
        <v/>
      </c>
      <c r="M457" s="7">
        <f t="shared" ref="M457:M520" si="21">IF(ISNUMBER(D457),MONTH(D457),0)</f>
        <v>0</v>
      </c>
      <c r="N457" s="13">
        <f>IF(AND(ISNUMBER(D457),ISNUMBER(Parametry!$G$6)),IF(AND(YEAR(D457)=Parametry!$G$6,M457&lt;=Parametry!$G$7),1,0),0)</f>
        <v>0</v>
      </c>
      <c r="O457" s="13">
        <f>IF(C457="",IF(COUNTA(D457:J457)&gt;0,1,0),IF(OR(COUNTIFS($C$9:$C$1008,C457)&lt;&gt;1,NOT(ISNUMBER(D457)),NOT(ISNUMBER(I457)),L457="",AND(F457&lt;&gt;"",COUNTIFS(Umowy!$C$9:$C$108,F457,Umowy!$D$9:$D$108,L457)&lt;&gt;1)),1,0))</f>
        <v>0</v>
      </c>
      <c r="P457" s="7" t="str">
        <f t="shared" ref="P457:P520" si="22">IF(O457=0,"",IF(C457="","Missing RowID",IF(COUNTIFS($C$9:$C$1008,C457)&lt;&gt;1,"Duplicate RowID",IF(L457="","Unmapped ERPKey",IF(NOT(ISNUMBER(D457)),"Invalid Date",IF(NOT(ISNUMBER(I457)),"Invalid AmountPLN","CommitmentID / BudgetID"))))))</f>
        <v/>
      </c>
      <c r="Q457" s="7" t="str">
        <f t="shared" ref="Q457:Q520" si="23">IF(C457="","",IF(N457=1,"","Nie ujęto w wykonaniu okresu"))</f>
        <v/>
      </c>
    </row>
    <row r="458" spans="1:17" ht="24" customHeight="1">
      <c r="A458" s="7"/>
      <c r="B458" s="7"/>
      <c r="C458" s="3"/>
      <c r="D458" s="2"/>
      <c r="E458" s="3"/>
      <c r="F458" s="3"/>
      <c r="G458" s="3"/>
      <c r="H458" s="3"/>
      <c r="I458" s="6"/>
      <c r="J458" s="3"/>
      <c r="K458" s="7"/>
      <c r="L458" s="13" t="str">
        <f>IF(C458="","",IF(COUNTIFS(Parametry!$C$54:$C$113,E458)=1,INDEX(Parametry!$D$54:$D$113,MATCH(E458,Parametry!$C$54:$C$113,0)),""))</f>
        <v/>
      </c>
      <c r="M458" s="7">
        <f t="shared" si="21"/>
        <v>0</v>
      </c>
      <c r="N458" s="13">
        <f>IF(AND(ISNUMBER(D458),ISNUMBER(Parametry!$G$6)),IF(AND(YEAR(D458)=Parametry!$G$6,M458&lt;=Parametry!$G$7),1,0),0)</f>
        <v>0</v>
      </c>
      <c r="O458" s="13">
        <f>IF(C458="",IF(COUNTA(D458:J458)&gt;0,1,0),IF(OR(COUNTIFS($C$9:$C$1008,C458)&lt;&gt;1,NOT(ISNUMBER(D458)),NOT(ISNUMBER(I458)),L458="",AND(F458&lt;&gt;"",COUNTIFS(Umowy!$C$9:$C$108,F458,Umowy!$D$9:$D$108,L458)&lt;&gt;1)),1,0))</f>
        <v>0</v>
      </c>
      <c r="P458" s="7" t="str">
        <f t="shared" si="22"/>
        <v/>
      </c>
      <c r="Q458" s="7" t="str">
        <f t="shared" si="23"/>
        <v/>
      </c>
    </row>
    <row r="459" spans="1:17" ht="24" customHeight="1">
      <c r="A459" s="7"/>
      <c r="B459" s="7"/>
      <c r="C459" s="3"/>
      <c r="D459" s="2"/>
      <c r="E459" s="3"/>
      <c r="F459" s="3"/>
      <c r="G459" s="3"/>
      <c r="H459" s="3"/>
      <c r="I459" s="6"/>
      <c r="J459" s="3"/>
      <c r="K459" s="7"/>
      <c r="L459" s="13" t="str">
        <f>IF(C459="","",IF(COUNTIFS(Parametry!$C$54:$C$113,E459)=1,INDEX(Parametry!$D$54:$D$113,MATCH(E459,Parametry!$C$54:$C$113,0)),""))</f>
        <v/>
      </c>
      <c r="M459" s="7">
        <f t="shared" si="21"/>
        <v>0</v>
      </c>
      <c r="N459" s="13">
        <f>IF(AND(ISNUMBER(D459),ISNUMBER(Parametry!$G$6)),IF(AND(YEAR(D459)=Parametry!$G$6,M459&lt;=Parametry!$G$7),1,0),0)</f>
        <v>0</v>
      </c>
      <c r="O459" s="13">
        <f>IF(C459="",IF(COUNTA(D459:J459)&gt;0,1,0),IF(OR(COUNTIFS($C$9:$C$1008,C459)&lt;&gt;1,NOT(ISNUMBER(D459)),NOT(ISNUMBER(I459)),L459="",AND(F459&lt;&gt;"",COUNTIFS(Umowy!$C$9:$C$108,F459,Umowy!$D$9:$D$108,L459)&lt;&gt;1)),1,0))</f>
        <v>0</v>
      </c>
      <c r="P459" s="7" t="str">
        <f t="shared" si="22"/>
        <v/>
      </c>
      <c r="Q459" s="7" t="str">
        <f t="shared" si="23"/>
        <v/>
      </c>
    </row>
    <row r="460" spans="1:17" ht="24" customHeight="1">
      <c r="A460" s="7"/>
      <c r="B460" s="7"/>
      <c r="C460" s="3"/>
      <c r="D460" s="2"/>
      <c r="E460" s="3"/>
      <c r="F460" s="3"/>
      <c r="G460" s="3"/>
      <c r="H460" s="3"/>
      <c r="I460" s="6"/>
      <c r="J460" s="3"/>
      <c r="K460" s="7"/>
      <c r="L460" s="13" t="str">
        <f>IF(C460="","",IF(COUNTIFS(Parametry!$C$54:$C$113,E460)=1,INDEX(Parametry!$D$54:$D$113,MATCH(E460,Parametry!$C$54:$C$113,0)),""))</f>
        <v/>
      </c>
      <c r="M460" s="7">
        <f t="shared" si="21"/>
        <v>0</v>
      </c>
      <c r="N460" s="13">
        <f>IF(AND(ISNUMBER(D460),ISNUMBER(Parametry!$G$6)),IF(AND(YEAR(D460)=Parametry!$G$6,M460&lt;=Parametry!$G$7),1,0),0)</f>
        <v>0</v>
      </c>
      <c r="O460" s="13">
        <f>IF(C460="",IF(COUNTA(D460:J460)&gt;0,1,0),IF(OR(COUNTIFS($C$9:$C$1008,C460)&lt;&gt;1,NOT(ISNUMBER(D460)),NOT(ISNUMBER(I460)),L460="",AND(F460&lt;&gt;"",COUNTIFS(Umowy!$C$9:$C$108,F460,Umowy!$D$9:$D$108,L460)&lt;&gt;1)),1,0))</f>
        <v>0</v>
      </c>
      <c r="P460" s="7" t="str">
        <f t="shared" si="22"/>
        <v/>
      </c>
      <c r="Q460" s="7" t="str">
        <f t="shared" si="23"/>
        <v/>
      </c>
    </row>
    <row r="461" spans="1:17" ht="24" customHeight="1">
      <c r="A461" s="7"/>
      <c r="B461" s="7"/>
      <c r="C461" s="3"/>
      <c r="D461" s="2"/>
      <c r="E461" s="3"/>
      <c r="F461" s="3"/>
      <c r="G461" s="3"/>
      <c r="H461" s="3"/>
      <c r="I461" s="6"/>
      <c r="J461" s="3"/>
      <c r="K461" s="7"/>
      <c r="L461" s="13" t="str">
        <f>IF(C461="","",IF(COUNTIFS(Parametry!$C$54:$C$113,E461)=1,INDEX(Parametry!$D$54:$D$113,MATCH(E461,Parametry!$C$54:$C$113,0)),""))</f>
        <v/>
      </c>
      <c r="M461" s="7">
        <f t="shared" si="21"/>
        <v>0</v>
      </c>
      <c r="N461" s="13">
        <f>IF(AND(ISNUMBER(D461),ISNUMBER(Parametry!$G$6)),IF(AND(YEAR(D461)=Parametry!$G$6,M461&lt;=Parametry!$G$7),1,0),0)</f>
        <v>0</v>
      </c>
      <c r="O461" s="13">
        <f>IF(C461="",IF(COUNTA(D461:J461)&gt;0,1,0),IF(OR(COUNTIFS($C$9:$C$1008,C461)&lt;&gt;1,NOT(ISNUMBER(D461)),NOT(ISNUMBER(I461)),L461="",AND(F461&lt;&gt;"",COUNTIFS(Umowy!$C$9:$C$108,F461,Umowy!$D$9:$D$108,L461)&lt;&gt;1)),1,0))</f>
        <v>0</v>
      </c>
      <c r="P461" s="7" t="str">
        <f t="shared" si="22"/>
        <v/>
      </c>
      <c r="Q461" s="7" t="str">
        <f t="shared" si="23"/>
        <v/>
      </c>
    </row>
    <row r="462" spans="1:17" ht="24" customHeight="1">
      <c r="A462" s="7"/>
      <c r="B462" s="7"/>
      <c r="C462" s="3"/>
      <c r="D462" s="2"/>
      <c r="E462" s="3"/>
      <c r="F462" s="3"/>
      <c r="G462" s="3"/>
      <c r="H462" s="3"/>
      <c r="I462" s="6"/>
      <c r="J462" s="3"/>
      <c r="K462" s="7"/>
      <c r="L462" s="13" t="str">
        <f>IF(C462="","",IF(COUNTIFS(Parametry!$C$54:$C$113,E462)=1,INDEX(Parametry!$D$54:$D$113,MATCH(E462,Parametry!$C$54:$C$113,0)),""))</f>
        <v/>
      </c>
      <c r="M462" s="7">
        <f t="shared" si="21"/>
        <v>0</v>
      </c>
      <c r="N462" s="13">
        <f>IF(AND(ISNUMBER(D462),ISNUMBER(Parametry!$G$6)),IF(AND(YEAR(D462)=Parametry!$G$6,M462&lt;=Parametry!$G$7),1,0),0)</f>
        <v>0</v>
      </c>
      <c r="O462" s="13">
        <f>IF(C462="",IF(COUNTA(D462:J462)&gt;0,1,0),IF(OR(COUNTIFS($C$9:$C$1008,C462)&lt;&gt;1,NOT(ISNUMBER(D462)),NOT(ISNUMBER(I462)),L462="",AND(F462&lt;&gt;"",COUNTIFS(Umowy!$C$9:$C$108,F462,Umowy!$D$9:$D$108,L462)&lt;&gt;1)),1,0))</f>
        <v>0</v>
      </c>
      <c r="P462" s="7" t="str">
        <f t="shared" si="22"/>
        <v/>
      </c>
      <c r="Q462" s="7" t="str">
        <f t="shared" si="23"/>
        <v/>
      </c>
    </row>
    <row r="463" spans="1:17" ht="24" customHeight="1">
      <c r="A463" s="7"/>
      <c r="B463" s="7"/>
      <c r="C463" s="3"/>
      <c r="D463" s="2"/>
      <c r="E463" s="3"/>
      <c r="F463" s="3"/>
      <c r="G463" s="3"/>
      <c r="H463" s="3"/>
      <c r="I463" s="6"/>
      <c r="J463" s="3"/>
      <c r="K463" s="7"/>
      <c r="L463" s="13" t="str">
        <f>IF(C463="","",IF(COUNTIFS(Parametry!$C$54:$C$113,E463)=1,INDEX(Parametry!$D$54:$D$113,MATCH(E463,Parametry!$C$54:$C$113,0)),""))</f>
        <v/>
      </c>
      <c r="M463" s="7">
        <f t="shared" si="21"/>
        <v>0</v>
      </c>
      <c r="N463" s="13">
        <f>IF(AND(ISNUMBER(D463),ISNUMBER(Parametry!$G$6)),IF(AND(YEAR(D463)=Parametry!$G$6,M463&lt;=Parametry!$G$7),1,0),0)</f>
        <v>0</v>
      </c>
      <c r="O463" s="13">
        <f>IF(C463="",IF(COUNTA(D463:J463)&gt;0,1,0),IF(OR(COUNTIFS($C$9:$C$1008,C463)&lt;&gt;1,NOT(ISNUMBER(D463)),NOT(ISNUMBER(I463)),L463="",AND(F463&lt;&gt;"",COUNTIFS(Umowy!$C$9:$C$108,F463,Umowy!$D$9:$D$108,L463)&lt;&gt;1)),1,0))</f>
        <v>0</v>
      </c>
      <c r="P463" s="7" t="str">
        <f t="shared" si="22"/>
        <v/>
      </c>
      <c r="Q463" s="7" t="str">
        <f t="shared" si="23"/>
        <v/>
      </c>
    </row>
    <row r="464" spans="1:17" ht="24" customHeight="1">
      <c r="A464" s="7"/>
      <c r="B464" s="7"/>
      <c r="C464" s="3"/>
      <c r="D464" s="2"/>
      <c r="E464" s="3"/>
      <c r="F464" s="3"/>
      <c r="G464" s="3"/>
      <c r="H464" s="3"/>
      <c r="I464" s="6"/>
      <c r="J464" s="3"/>
      <c r="K464" s="7"/>
      <c r="L464" s="13" t="str">
        <f>IF(C464="","",IF(COUNTIFS(Parametry!$C$54:$C$113,E464)=1,INDEX(Parametry!$D$54:$D$113,MATCH(E464,Parametry!$C$54:$C$113,0)),""))</f>
        <v/>
      </c>
      <c r="M464" s="7">
        <f t="shared" si="21"/>
        <v>0</v>
      </c>
      <c r="N464" s="13">
        <f>IF(AND(ISNUMBER(D464),ISNUMBER(Parametry!$G$6)),IF(AND(YEAR(D464)=Parametry!$G$6,M464&lt;=Parametry!$G$7),1,0),0)</f>
        <v>0</v>
      </c>
      <c r="O464" s="13">
        <f>IF(C464="",IF(COUNTA(D464:J464)&gt;0,1,0),IF(OR(COUNTIFS($C$9:$C$1008,C464)&lt;&gt;1,NOT(ISNUMBER(D464)),NOT(ISNUMBER(I464)),L464="",AND(F464&lt;&gt;"",COUNTIFS(Umowy!$C$9:$C$108,F464,Umowy!$D$9:$D$108,L464)&lt;&gt;1)),1,0))</f>
        <v>0</v>
      </c>
      <c r="P464" s="7" t="str">
        <f t="shared" si="22"/>
        <v/>
      </c>
      <c r="Q464" s="7" t="str">
        <f t="shared" si="23"/>
        <v/>
      </c>
    </row>
    <row r="465" spans="1:17" ht="24" customHeight="1">
      <c r="A465" s="7"/>
      <c r="B465" s="7"/>
      <c r="C465" s="3"/>
      <c r="D465" s="2"/>
      <c r="E465" s="3"/>
      <c r="F465" s="3"/>
      <c r="G465" s="3"/>
      <c r="H465" s="3"/>
      <c r="I465" s="6"/>
      <c r="J465" s="3"/>
      <c r="K465" s="7"/>
      <c r="L465" s="13" t="str">
        <f>IF(C465="","",IF(COUNTIFS(Parametry!$C$54:$C$113,E465)=1,INDEX(Parametry!$D$54:$D$113,MATCH(E465,Parametry!$C$54:$C$113,0)),""))</f>
        <v/>
      </c>
      <c r="M465" s="7">
        <f t="shared" si="21"/>
        <v>0</v>
      </c>
      <c r="N465" s="13">
        <f>IF(AND(ISNUMBER(D465),ISNUMBER(Parametry!$G$6)),IF(AND(YEAR(D465)=Parametry!$G$6,M465&lt;=Parametry!$G$7),1,0),0)</f>
        <v>0</v>
      </c>
      <c r="O465" s="13">
        <f>IF(C465="",IF(COUNTA(D465:J465)&gt;0,1,0),IF(OR(COUNTIFS($C$9:$C$1008,C465)&lt;&gt;1,NOT(ISNUMBER(D465)),NOT(ISNUMBER(I465)),L465="",AND(F465&lt;&gt;"",COUNTIFS(Umowy!$C$9:$C$108,F465,Umowy!$D$9:$D$108,L465)&lt;&gt;1)),1,0))</f>
        <v>0</v>
      </c>
      <c r="P465" s="7" t="str">
        <f t="shared" si="22"/>
        <v/>
      </c>
      <c r="Q465" s="7" t="str">
        <f t="shared" si="23"/>
        <v/>
      </c>
    </row>
    <row r="466" spans="1:17" ht="24" customHeight="1">
      <c r="A466" s="7"/>
      <c r="B466" s="7"/>
      <c r="C466" s="3"/>
      <c r="D466" s="2"/>
      <c r="E466" s="3"/>
      <c r="F466" s="3"/>
      <c r="G466" s="3"/>
      <c r="H466" s="3"/>
      <c r="I466" s="6"/>
      <c r="J466" s="3"/>
      <c r="K466" s="7"/>
      <c r="L466" s="13" t="str">
        <f>IF(C466="","",IF(COUNTIFS(Parametry!$C$54:$C$113,E466)=1,INDEX(Parametry!$D$54:$D$113,MATCH(E466,Parametry!$C$54:$C$113,0)),""))</f>
        <v/>
      </c>
      <c r="M466" s="7">
        <f t="shared" si="21"/>
        <v>0</v>
      </c>
      <c r="N466" s="13">
        <f>IF(AND(ISNUMBER(D466),ISNUMBER(Parametry!$G$6)),IF(AND(YEAR(D466)=Parametry!$G$6,M466&lt;=Parametry!$G$7),1,0),0)</f>
        <v>0</v>
      </c>
      <c r="O466" s="13">
        <f>IF(C466="",IF(COUNTA(D466:J466)&gt;0,1,0),IF(OR(COUNTIFS($C$9:$C$1008,C466)&lt;&gt;1,NOT(ISNUMBER(D466)),NOT(ISNUMBER(I466)),L466="",AND(F466&lt;&gt;"",COUNTIFS(Umowy!$C$9:$C$108,F466,Umowy!$D$9:$D$108,L466)&lt;&gt;1)),1,0))</f>
        <v>0</v>
      </c>
      <c r="P466" s="7" t="str">
        <f t="shared" si="22"/>
        <v/>
      </c>
      <c r="Q466" s="7" t="str">
        <f t="shared" si="23"/>
        <v/>
      </c>
    </row>
    <row r="467" spans="1:17" ht="24" customHeight="1">
      <c r="A467" s="7"/>
      <c r="B467" s="7"/>
      <c r="C467" s="3"/>
      <c r="D467" s="2"/>
      <c r="E467" s="3"/>
      <c r="F467" s="3"/>
      <c r="G467" s="3"/>
      <c r="H467" s="3"/>
      <c r="I467" s="6"/>
      <c r="J467" s="3"/>
      <c r="K467" s="7"/>
      <c r="L467" s="13" t="str">
        <f>IF(C467="","",IF(COUNTIFS(Parametry!$C$54:$C$113,E467)=1,INDEX(Parametry!$D$54:$D$113,MATCH(E467,Parametry!$C$54:$C$113,0)),""))</f>
        <v/>
      </c>
      <c r="M467" s="7">
        <f t="shared" si="21"/>
        <v>0</v>
      </c>
      <c r="N467" s="13">
        <f>IF(AND(ISNUMBER(D467),ISNUMBER(Parametry!$G$6)),IF(AND(YEAR(D467)=Parametry!$G$6,M467&lt;=Parametry!$G$7),1,0),0)</f>
        <v>0</v>
      </c>
      <c r="O467" s="13">
        <f>IF(C467="",IF(COUNTA(D467:J467)&gt;0,1,0),IF(OR(COUNTIFS($C$9:$C$1008,C467)&lt;&gt;1,NOT(ISNUMBER(D467)),NOT(ISNUMBER(I467)),L467="",AND(F467&lt;&gt;"",COUNTIFS(Umowy!$C$9:$C$108,F467,Umowy!$D$9:$D$108,L467)&lt;&gt;1)),1,0))</f>
        <v>0</v>
      </c>
      <c r="P467" s="7" t="str">
        <f t="shared" si="22"/>
        <v/>
      </c>
      <c r="Q467" s="7" t="str">
        <f t="shared" si="23"/>
        <v/>
      </c>
    </row>
    <row r="468" spans="1:17" ht="24" customHeight="1">
      <c r="A468" s="7"/>
      <c r="B468" s="7"/>
      <c r="C468" s="3"/>
      <c r="D468" s="2"/>
      <c r="E468" s="3"/>
      <c r="F468" s="3"/>
      <c r="G468" s="3"/>
      <c r="H468" s="3"/>
      <c r="I468" s="6"/>
      <c r="J468" s="3"/>
      <c r="K468" s="7"/>
      <c r="L468" s="13" t="str">
        <f>IF(C468="","",IF(COUNTIFS(Parametry!$C$54:$C$113,E468)=1,INDEX(Parametry!$D$54:$D$113,MATCH(E468,Parametry!$C$54:$C$113,0)),""))</f>
        <v/>
      </c>
      <c r="M468" s="7">
        <f t="shared" si="21"/>
        <v>0</v>
      </c>
      <c r="N468" s="13">
        <f>IF(AND(ISNUMBER(D468),ISNUMBER(Parametry!$G$6)),IF(AND(YEAR(D468)=Parametry!$G$6,M468&lt;=Parametry!$G$7),1,0),0)</f>
        <v>0</v>
      </c>
      <c r="O468" s="13">
        <f>IF(C468="",IF(COUNTA(D468:J468)&gt;0,1,0),IF(OR(COUNTIFS($C$9:$C$1008,C468)&lt;&gt;1,NOT(ISNUMBER(D468)),NOT(ISNUMBER(I468)),L468="",AND(F468&lt;&gt;"",COUNTIFS(Umowy!$C$9:$C$108,F468,Umowy!$D$9:$D$108,L468)&lt;&gt;1)),1,0))</f>
        <v>0</v>
      </c>
      <c r="P468" s="7" t="str">
        <f t="shared" si="22"/>
        <v/>
      </c>
      <c r="Q468" s="7" t="str">
        <f t="shared" si="23"/>
        <v/>
      </c>
    </row>
    <row r="469" spans="1:17" ht="24" customHeight="1">
      <c r="A469" s="7"/>
      <c r="B469" s="7"/>
      <c r="C469" s="3"/>
      <c r="D469" s="2"/>
      <c r="E469" s="3"/>
      <c r="F469" s="3"/>
      <c r="G469" s="3"/>
      <c r="H469" s="3"/>
      <c r="I469" s="6"/>
      <c r="J469" s="3"/>
      <c r="K469" s="7"/>
      <c r="L469" s="13" t="str">
        <f>IF(C469="","",IF(COUNTIFS(Parametry!$C$54:$C$113,E469)=1,INDEX(Parametry!$D$54:$D$113,MATCH(E469,Parametry!$C$54:$C$113,0)),""))</f>
        <v/>
      </c>
      <c r="M469" s="7">
        <f t="shared" si="21"/>
        <v>0</v>
      </c>
      <c r="N469" s="13">
        <f>IF(AND(ISNUMBER(D469),ISNUMBER(Parametry!$G$6)),IF(AND(YEAR(D469)=Parametry!$G$6,M469&lt;=Parametry!$G$7),1,0),0)</f>
        <v>0</v>
      </c>
      <c r="O469" s="13">
        <f>IF(C469="",IF(COUNTA(D469:J469)&gt;0,1,0),IF(OR(COUNTIFS($C$9:$C$1008,C469)&lt;&gt;1,NOT(ISNUMBER(D469)),NOT(ISNUMBER(I469)),L469="",AND(F469&lt;&gt;"",COUNTIFS(Umowy!$C$9:$C$108,F469,Umowy!$D$9:$D$108,L469)&lt;&gt;1)),1,0))</f>
        <v>0</v>
      </c>
      <c r="P469" s="7" t="str">
        <f t="shared" si="22"/>
        <v/>
      </c>
      <c r="Q469" s="7" t="str">
        <f t="shared" si="23"/>
        <v/>
      </c>
    </row>
    <row r="470" spans="1:17" ht="24" customHeight="1">
      <c r="A470" s="7"/>
      <c r="B470" s="7"/>
      <c r="C470" s="3"/>
      <c r="D470" s="2"/>
      <c r="E470" s="3"/>
      <c r="F470" s="3"/>
      <c r="G470" s="3"/>
      <c r="H470" s="3"/>
      <c r="I470" s="6"/>
      <c r="J470" s="3"/>
      <c r="K470" s="7"/>
      <c r="L470" s="13" t="str">
        <f>IF(C470="","",IF(COUNTIFS(Parametry!$C$54:$C$113,E470)=1,INDEX(Parametry!$D$54:$D$113,MATCH(E470,Parametry!$C$54:$C$113,0)),""))</f>
        <v/>
      </c>
      <c r="M470" s="7">
        <f t="shared" si="21"/>
        <v>0</v>
      </c>
      <c r="N470" s="13">
        <f>IF(AND(ISNUMBER(D470),ISNUMBER(Parametry!$G$6)),IF(AND(YEAR(D470)=Parametry!$G$6,M470&lt;=Parametry!$G$7),1,0),0)</f>
        <v>0</v>
      </c>
      <c r="O470" s="13">
        <f>IF(C470="",IF(COUNTA(D470:J470)&gt;0,1,0),IF(OR(COUNTIFS($C$9:$C$1008,C470)&lt;&gt;1,NOT(ISNUMBER(D470)),NOT(ISNUMBER(I470)),L470="",AND(F470&lt;&gt;"",COUNTIFS(Umowy!$C$9:$C$108,F470,Umowy!$D$9:$D$108,L470)&lt;&gt;1)),1,0))</f>
        <v>0</v>
      </c>
      <c r="P470" s="7" t="str">
        <f t="shared" si="22"/>
        <v/>
      </c>
      <c r="Q470" s="7" t="str">
        <f t="shared" si="23"/>
        <v/>
      </c>
    </row>
    <row r="471" spans="1:17" ht="24" customHeight="1">
      <c r="A471" s="7"/>
      <c r="B471" s="7"/>
      <c r="C471" s="3"/>
      <c r="D471" s="2"/>
      <c r="E471" s="3"/>
      <c r="F471" s="3"/>
      <c r="G471" s="3"/>
      <c r="H471" s="3"/>
      <c r="I471" s="6"/>
      <c r="J471" s="3"/>
      <c r="K471" s="7"/>
      <c r="L471" s="13" t="str">
        <f>IF(C471="","",IF(COUNTIFS(Parametry!$C$54:$C$113,E471)=1,INDEX(Parametry!$D$54:$D$113,MATCH(E471,Parametry!$C$54:$C$113,0)),""))</f>
        <v/>
      </c>
      <c r="M471" s="7">
        <f t="shared" si="21"/>
        <v>0</v>
      </c>
      <c r="N471" s="13">
        <f>IF(AND(ISNUMBER(D471),ISNUMBER(Parametry!$G$6)),IF(AND(YEAR(D471)=Parametry!$G$6,M471&lt;=Parametry!$G$7),1,0),0)</f>
        <v>0</v>
      </c>
      <c r="O471" s="13">
        <f>IF(C471="",IF(COUNTA(D471:J471)&gt;0,1,0),IF(OR(COUNTIFS($C$9:$C$1008,C471)&lt;&gt;1,NOT(ISNUMBER(D471)),NOT(ISNUMBER(I471)),L471="",AND(F471&lt;&gt;"",COUNTIFS(Umowy!$C$9:$C$108,F471,Umowy!$D$9:$D$108,L471)&lt;&gt;1)),1,0))</f>
        <v>0</v>
      </c>
      <c r="P471" s="7" t="str">
        <f t="shared" si="22"/>
        <v/>
      </c>
      <c r="Q471" s="7" t="str">
        <f t="shared" si="23"/>
        <v/>
      </c>
    </row>
    <row r="472" spans="1:17" ht="24" customHeight="1">
      <c r="A472" s="7"/>
      <c r="B472" s="7"/>
      <c r="C472" s="3"/>
      <c r="D472" s="2"/>
      <c r="E472" s="3"/>
      <c r="F472" s="3"/>
      <c r="G472" s="3"/>
      <c r="H472" s="3"/>
      <c r="I472" s="6"/>
      <c r="J472" s="3"/>
      <c r="K472" s="7"/>
      <c r="L472" s="13" t="str">
        <f>IF(C472="","",IF(COUNTIFS(Parametry!$C$54:$C$113,E472)=1,INDEX(Parametry!$D$54:$D$113,MATCH(E472,Parametry!$C$54:$C$113,0)),""))</f>
        <v/>
      </c>
      <c r="M472" s="7">
        <f t="shared" si="21"/>
        <v>0</v>
      </c>
      <c r="N472" s="13">
        <f>IF(AND(ISNUMBER(D472),ISNUMBER(Parametry!$G$6)),IF(AND(YEAR(D472)=Parametry!$G$6,M472&lt;=Parametry!$G$7),1,0),0)</f>
        <v>0</v>
      </c>
      <c r="O472" s="13">
        <f>IF(C472="",IF(COUNTA(D472:J472)&gt;0,1,0),IF(OR(COUNTIFS($C$9:$C$1008,C472)&lt;&gt;1,NOT(ISNUMBER(D472)),NOT(ISNUMBER(I472)),L472="",AND(F472&lt;&gt;"",COUNTIFS(Umowy!$C$9:$C$108,F472,Umowy!$D$9:$D$108,L472)&lt;&gt;1)),1,0))</f>
        <v>0</v>
      </c>
      <c r="P472" s="7" t="str">
        <f t="shared" si="22"/>
        <v/>
      </c>
      <c r="Q472" s="7" t="str">
        <f t="shared" si="23"/>
        <v/>
      </c>
    </row>
    <row r="473" spans="1:17" ht="24" customHeight="1">
      <c r="A473" s="7"/>
      <c r="B473" s="7"/>
      <c r="C473" s="3"/>
      <c r="D473" s="2"/>
      <c r="E473" s="3"/>
      <c r="F473" s="3"/>
      <c r="G473" s="3"/>
      <c r="H473" s="3"/>
      <c r="I473" s="6"/>
      <c r="J473" s="3"/>
      <c r="K473" s="7"/>
      <c r="L473" s="13" t="str">
        <f>IF(C473="","",IF(COUNTIFS(Parametry!$C$54:$C$113,E473)=1,INDEX(Parametry!$D$54:$D$113,MATCH(E473,Parametry!$C$54:$C$113,0)),""))</f>
        <v/>
      </c>
      <c r="M473" s="7">
        <f t="shared" si="21"/>
        <v>0</v>
      </c>
      <c r="N473" s="13">
        <f>IF(AND(ISNUMBER(D473),ISNUMBER(Parametry!$G$6)),IF(AND(YEAR(D473)=Parametry!$G$6,M473&lt;=Parametry!$G$7),1,0),0)</f>
        <v>0</v>
      </c>
      <c r="O473" s="13">
        <f>IF(C473="",IF(COUNTA(D473:J473)&gt;0,1,0),IF(OR(COUNTIFS($C$9:$C$1008,C473)&lt;&gt;1,NOT(ISNUMBER(D473)),NOT(ISNUMBER(I473)),L473="",AND(F473&lt;&gt;"",COUNTIFS(Umowy!$C$9:$C$108,F473,Umowy!$D$9:$D$108,L473)&lt;&gt;1)),1,0))</f>
        <v>0</v>
      </c>
      <c r="P473" s="7" t="str">
        <f t="shared" si="22"/>
        <v/>
      </c>
      <c r="Q473" s="7" t="str">
        <f t="shared" si="23"/>
        <v/>
      </c>
    </row>
    <row r="474" spans="1:17" ht="24" customHeight="1">
      <c r="A474" s="7"/>
      <c r="B474" s="7"/>
      <c r="C474" s="3"/>
      <c r="D474" s="2"/>
      <c r="E474" s="3"/>
      <c r="F474" s="3"/>
      <c r="G474" s="3"/>
      <c r="H474" s="3"/>
      <c r="I474" s="6"/>
      <c r="J474" s="3"/>
      <c r="K474" s="7"/>
      <c r="L474" s="13" t="str">
        <f>IF(C474="","",IF(COUNTIFS(Parametry!$C$54:$C$113,E474)=1,INDEX(Parametry!$D$54:$D$113,MATCH(E474,Parametry!$C$54:$C$113,0)),""))</f>
        <v/>
      </c>
      <c r="M474" s="7">
        <f t="shared" si="21"/>
        <v>0</v>
      </c>
      <c r="N474" s="13">
        <f>IF(AND(ISNUMBER(D474),ISNUMBER(Parametry!$G$6)),IF(AND(YEAR(D474)=Parametry!$G$6,M474&lt;=Parametry!$G$7),1,0),0)</f>
        <v>0</v>
      </c>
      <c r="O474" s="13">
        <f>IF(C474="",IF(COUNTA(D474:J474)&gt;0,1,0),IF(OR(COUNTIFS($C$9:$C$1008,C474)&lt;&gt;1,NOT(ISNUMBER(D474)),NOT(ISNUMBER(I474)),L474="",AND(F474&lt;&gt;"",COUNTIFS(Umowy!$C$9:$C$108,F474,Umowy!$D$9:$D$108,L474)&lt;&gt;1)),1,0))</f>
        <v>0</v>
      </c>
      <c r="P474" s="7" t="str">
        <f t="shared" si="22"/>
        <v/>
      </c>
      <c r="Q474" s="7" t="str">
        <f t="shared" si="23"/>
        <v/>
      </c>
    </row>
    <row r="475" spans="1:17" ht="24" customHeight="1">
      <c r="A475" s="7"/>
      <c r="B475" s="7"/>
      <c r="C475" s="3"/>
      <c r="D475" s="2"/>
      <c r="E475" s="3"/>
      <c r="F475" s="3"/>
      <c r="G475" s="3"/>
      <c r="H475" s="3"/>
      <c r="I475" s="6"/>
      <c r="J475" s="3"/>
      <c r="K475" s="7"/>
      <c r="L475" s="13" t="str">
        <f>IF(C475="","",IF(COUNTIFS(Parametry!$C$54:$C$113,E475)=1,INDEX(Parametry!$D$54:$D$113,MATCH(E475,Parametry!$C$54:$C$113,0)),""))</f>
        <v/>
      </c>
      <c r="M475" s="7">
        <f t="shared" si="21"/>
        <v>0</v>
      </c>
      <c r="N475" s="13">
        <f>IF(AND(ISNUMBER(D475),ISNUMBER(Parametry!$G$6)),IF(AND(YEAR(D475)=Parametry!$G$6,M475&lt;=Parametry!$G$7),1,0),0)</f>
        <v>0</v>
      </c>
      <c r="O475" s="13">
        <f>IF(C475="",IF(COUNTA(D475:J475)&gt;0,1,0),IF(OR(COUNTIFS($C$9:$C$1008,C475)&lt;&gt;1,NOT(ISNUMBER(D475)),NOT(ISNUMBER(I475)),L475="",AND(F475&lt;&gt;"",COUNTIFS(Umowy!$C$9:$C$108,F475,Umowy!$D$9:$D$108,L475)&lt;&gt;1)),1,0))</f>
        <v>0</v>
      </c>
      <c r="P475" s="7" t="str">
        <f t="shared" si="22"/>
        <v/>
      </c>
      <c r="Q475" s="7" t="str">
        <f t="shared" si="23"/>
        <v/>
      </c>
    </row>
    <row r="476" spans="1:17" ht="24" customHeight="1">
      <c r="A476" s="7"/>
      <c r="B476" s="7"/>
      <c r="C476" s="3"/>
      <c r="D476" s="2"/>
      <c r="E476" s="3"/>
      <c r="F476" s="3"/>
      <c r="G476" s="3"/>
      <c r="H476" s="3"/>
      <c r="I476" s="6"/>
      <c r="J476" s="3"/>
      <c r="K476" s="7"/>
      <c r="L476" s="13" t="str">
        <f>IF(C476="","",IF(COUNTIFS(Parametry!$C$54:$C$113,E476)=1,INDEX(Parametry!$D$54:$D$113,MATCH(E476,Parametry!$C$54:$C$113,0)),""))</f>
        <v/>
      </c>
      <c r="M476" s="7">
        <f t="shared" si="21"/>
        <v>0</v>
      </c>
      <c r="N476" s="13">
        <f>IF(AND(ISNUMBER(D476),ISNUMBER(Parametry!$G$6)),IF(AND(YEAR(D476)=Parametry!$G$6,M476&lt;=Parametry!$G$7),1,0),0)</f>
        <v>0</v>
      </c>
      <c r="O476" s="13">
        <f>IF(C476="",IF(COUNTA(D476:J476)&gt;0,1,0),IF(OR(COUNTIFS($C$9:$C$1008,C476)&lt;&gt;1,NOT(ISNUMBER(D476)),NOT(ISNUMBER(I476)),L476="",AND(F476&lt;&gt;"",COUNTIFS(Umowy!$C$9:$C$108,F476,Umowy!$D$9:$D$108,L476)&lt;&gt;1)),1,0))</f>
        <v>0</v>
      </c>
      <c r="P476" s="7" t="str">
        <f t="shared" si="22"/>
        <v/>
      </c>
      <c r="Q476" s="7" t="str">
        <f t="shared" si="23"/>
        <v/>
      </c>
    </row>
    <row r="477" spans="1:17" ht="24" customHeight="1">
      <c r="A477" s="7"/>
      <c r="B477" s="7"/>
      <c r="C477" s="3"/>
      <c r="D477" s="2"/>
      <c r="E477" s="3"/>
      <c r="F477" s="3"/>
      <c r="G477" s="3"/>
      <c r="H477" s="3"/>
      <c r="I477" s="6"/>
      <c r="J477" s="3"/>
      <c r="K477" s="7"/>
      <c r="L477" s="13" t="str">
        <f>IF(C477="","",IF(COUNTIFS(Parametry!$C$54:$C$113,E477)=1,INDEX(Parametry!$D$54:$D$113,MATCH(E477,Parametry!$C$54:$C$113,0)),""))</f>
        <v/>
      </c>
      <c r="M477" s="7">
        <f t="shared" si="21"/>
        <v>0</v>
      </c>
      <c r="N477" s="13">
        <f>IF(AND(ISNUMBER(D477),ISNUMBER(Parametry!$G$6)),IF(AND(YEAR(D477)=Parametry!$G$6,M477&lt;=Parametry!$G$7),1,0),0)</f>
        <v>0</v>
      </c>
      <c r="O477" s="13">
        <f>IF(C477="",IF(COUNTA(D477:J477)&gt;0,1,0),IF(OR(COUNTIFS($C$9:$C$1008,C477)&lt;&gt;1,NOT(ISNUMBER(D477)),NOT(ISNUMBER(I477)),L477="",AND(F477&lt;&gt;"",COUNTIFS(Umowy!$C$9:$C$108,F477,Umowy!$D$9:$D$108,L477)&lt;&gt;1)),1,0))</f>
        <v>0</v>
      </c>
      <c r="P477" s="7" t="str">
        <f t="shared" si="22"/>
        <v/>
      </c>
      <c r="Q477" s="7" t="str">
        <f t="shared" si="23"/>
        <v/>
      </c>
    </row>
    <row r="478" spans="1:17" ht="24" customHeight="1">
      <c r="A478" s="7"/>
      <c r="B478" s="7"/>
      <c r="C478" s="3"/>
      <c r="D478" s="2"/>
      <c r="E478" s="3"/>
      <c r="F478" s="3"/>
      <c r="G478" s="3"/>
      <c r="H478" s="3"/>
      <c r="I478" s="6"/>
      <c r="J478" s="3"/>
      <c r="K478" s="7"/>
      <c r="L478" s="13" t="str">
        <f>IF(C478="","",IF(COUNTIFS(Parametry!$C$54:$C$113,E478)=1,INDEX(Parametry!$D$54:$D$113,MATCH(E478,Parametry!$C$54:$C$113,0)),""))</f>
        <v/>
      </c>
      <c r="M478" s="7">
        <f t="shared" si="21"/>
        <v>0</v>
      </c>
      <c r="N478" s="13">
        <f>IF(AND(ISNUMBER(D478),ISNUMBER(Parametry!$G$6)),IF(AND(YEAR(D478)=Parametry!$G$6,M478&lt;=Parametry!$G$7),1,0),0)</f>
        <v>0</v>
      </c>
      <c r="O478" s="13">
        <f>IF(C478="",IF(COUNTA(D478:J478)&gt;0,1,0),IF(OR(COUNTIFS($C$9:$C$1008,C478)&lt;&gt;1,NOT(ISNUMBER(D478)),NOT(ISNUMBER(I478)),L478="",AND(F478&lt;&gt;"",COUNTIFS(Umowy!$C$9:$C$108,F478,Umowy!$D$9:$D$108,L478)&lt;&gt;1)),1,0))</f>
        <v>0</v>
      </c>
      <c r="P478" s="7" t="str">
        <f t="shared" si="22"/>
        <v/>
      </c>
      <c r="Q478" s="7" t="str">
        <f t="shared" si="23"/>
        <v/>
      </c>
    </row>
    <row r="479" spans="1:17" ht="24" customHeight="1">
      <c r="A479" s="7"/>
      <c r="B479" s="7"/>
      <c r="C479" s="3"/>
      <c r="D479" s="2"/>
      <c r="E479" s="3"/>
      <c r="F479" s="3"/>
      <c r="G479" s="3"/>
      <c r="H479" s="3"/>
      <c r="I479" s="6"/>
      <c r="J479" s="3"/>
      <c r="K479" s="7"/>
      <c r="L479" s="13" t="str">
        <f>IF(C479="","",IF(COUNTIFS(Parametry!$C$54:$C$113,E479)=1,INDEX(Parametry!$D$54:$D$113,MATCH(E479,Parametry!$C$54:$C$113,0)),""))</f>
        <v/>
      </c>
      <c r="M479" s="7">
        <f t="shared" si="21"/>
        <v>0</v>
      </c>
      <c r="N479" s="13">
        <f>IF(AND(ISNUMBER(D479),ISNUMBER(Parametry!$G$6)),IF(AND(YEAR(D479)=Parametry!$G$6,M479&lt;=Parametry!$G$7),1,0),0)</f>
        <v>0</v>
      </c>
      <c r="O479" s="13">
        <f>IF(C479="",IF(COUNTA(D479:J479)&gt;0,1,0),IF(OR(COUNTIFS($C$9:$C$1008,C479)&lt;&gt;1,NOT(ISNUMBER(D479)),NOT(ISNUMBER(I479)),L479="",AND(F479&lt;&gt;"",COUNTIFS(Umowy!$C$9:$C$108,F479,Umowy!$D$9:$D$108,L479)&lt;&gt;1)),1,0))</f>
        <v>0</v>
      </c>
      <c r="P479" s="7" t="str">
        <f t="shared" si="22"/>
        <v/>
      </c>
      <c r="Q479" s="7" t="str">
        <f t="shared" si="23"/>
        <v/>
      </c>
    </row>
    <row r="480" spans="1:17" ht="24" customHeight="1">
      <c r="A480" s="7"/>
      <c r="B480" s="7"/>
      <c r="C480" s="3"/>
      <c r="D480" s="2"/>
      <c r="E480" s="3"/>
      <c r="F480" s="3"/>
      <c r="G480" s="3"/>
      <c r="H480" s="3"/>
      <c r="I480" s="6"/>
      <c r="J480" s="3"/>
      <c r="K480" s="7"/>
      <c r="L480" s="13" t="str">
        <f>IF(C480="","",IF(COUNTIFS(Parametry!$C$54:$C$113,E480)=1,INDEX(Parametry!$D$54:$D$113,MATCH(E480,Parametry!$C$54:$C$113,0)),""))</f>
        <v/>
      </c>
      <c r="M480" s="7">
        <f t="shared" si="21"/>
        <v>0</v>
      </c>
      <c r="N480" s="13">
        <f>IF(AND(ISNUMBER(D480),ISNUMBER(Parametry!$G$6)),IF(AND(YEAR(D480)=Parametry!$G$6,M480&lt;=Parametry!$G$7),1,0),0)</f>
        <v>0</v>
      </c>
      <c r="O480" s="13">
        <f>IF(C480="",IF(COUNTA(D480:J480)&gt;0,1,0),IF(OR(COUNTIFS($C$9:$C$1008,C480)&lt;&gt;1,NOT(ISNUMBER(D480)),NOT(ISNUMBER(I480)),L480="",AND(F480&lt;&gt;"",COUNTIFS(Umowy!$C$9:$C$108,F480,Umowy!$D$9:$D$108,L480)&lt;&gt;1)),1,0))</f>
        <v>0</v>
      </c>
      <c r="P480" s="7" t="str">
        <f t="shared" si="22"/>
        <v/>
      </c>
      <c r="Q480" s="7" t="str">
        <f t="shared" si="23"/>
        <v/>
      </c>
    </row>
    <row r="481" spans="1:17" ht="24" customHeight="1">
      <c r="A481" s="7"/>
      <c r="B481" s="7"/>
      <c r="C481" s="3"/>
      <c r="D481" s="2"/>
      <c r="E481" s="3"/>
      <c r="F481" s="3"/>
      <c r="G481" s="3"/>
      <c r="H481" s="3"/>
      <c r="I481" s="6"/>
      <c r="J481" s="3"/>
      <c r="K481" s="7"/>
      <c r="L481" s="13" t="str">
        <f>IF(C481="","",IF(COUNTIFS(Parametry!$C$54:$C$113,E481)=1,INDEX(Parametry!$D$54:$D$113,MATCH(E481,Parametry!$C$54:$C$113,0)),""))</f>
        <v/>
      </c>
      <c r="M481" s="7">
        <f t="shared" si="21"/>
        <v>0</v>
      </c>
      <c r="N481" s="13">
        <f>IF(AND(ISNUMBER(D481),ISNUMBER(Parametry!$G$6)),IF(AND(YEAR(D481)=Parametry!$G$6,M481&lt;=Parametry!$G$7),1,0),0)</f>
        <v>0</v>
      </c>
      <c r="O481" s="13">
        <f>IF(C481="",IF(COUNTA(D481:J481)&gt;0,1,0),IF(OR(COUNTIFS($C$9:$C$1008,C481)&lt;&gt;1,NOT(ISNUMBER(D481)),NOT(ISNUMBER(I481)),L481="",AND(F481&lt;&gt;"",COUNTIFS(Umowy!$C$9:$C$108,F481,Umowy!$D$9:$D$108,L481)&lt;&gt;1)),1,0))</f>
        <v>0</v>
      </c>
      <c r="P481" s="7" t="str">
        <f t="shared" si="22"/>
        <v/>
      </c>
      <c r="Q481" s="7" t="str">
        <f t="shared" si="23"/>
        <v/>
      </c>
    </row>
    <row r="482" spans="1:17" ht="24" customHeight="1">
      <c r="A482" s="7"/>
      <c r="B482" s="7"/>
      <c r="C482" s="3"/>
      <c r="D482" s="2"/>
      <c r="E482" s="3"/>
      <c r="F482" s="3"/>
      <c r="G482" s="3"/>
      <c r="H482" s="3"/>
      <c r="I482" s="6"/>
      <c r="J482" s="3"/>
      <c r="K482" s="7"/>
      <c r="L482" s="13" t="str">
        <f>IF(C482="","",IF(COUNTIFS(Parametry!$C$54:$C$113,E482)=1,INDEX(Parametry!$D$54:$D$113,MATCH(E482,Parametry!$C$54:$C$113,0)),""))</f>
        <v/>
      </c>
      <c r="M482" s="7">
        <f t="shared" si="21"/>
        <v>0</v>
      </c>
      <c r="N482" s="13">
        <f>IF(AND(ISNUMBER(D482),ISNUMBER(Parametry!$G$6)),IF(AND(YEAR(D482)=Parametry!$G$6,M482&lt;=Parametry!$G$7),1,0),0)</f>
        <v>0</v>
      </c>
      <c r="O482" s="13">
        <f>IF(C482="",IF(COUNTA(D482:J482)&gt;0,1,0),IF(OR(COUNTIFS($C$9:$C$1008,C482)&lt;&gt;1,NOT(ISNUMBER(D482)),NOT(ISNUMBER(I482)),L482="",AND(F482&lt;&gt;"",COUNTIFS(Umowy!$C$9:$C$108,F482,Umowy!$D$9:$D$108,L482)&lt;&gt;1)),1,0))</f>
        <v>0</v>
      </c>
      <c r="P482" s="7" t="str">
        <f t="shared" si="22"/>
        <v/>
      </c>
      <c r="Q482" s="7" t="str">
        <f t="shared" si="23"/>
        <v/>
      </c>
    </row>
    <row r="483" spans="1:17" ht="24" customHeight="1">
      <c r="A483" s="7"/>
      <c r="B483" s="7"/>
      <c r="C483" s="3"/>
      <c r="D483" s="2"/>
      <c r="E483" s="3"/>
      <c r="F483" s="3"/>
      <c r="G483" s="3"/>
      <c r="H483" s="3"/>
      <c r="I483" s="6"/>
      <c r="J483" s="3"/>
      <c r="K483" s="7"/>
      <c r="L483" s="13" t="str">
        <f>IF(C483="","",IF(COUNTIFS(Parametry!$C$54:$C$113,E483)=1,INDEX(Parametry!$D$54:$D$113,MATCH(E483,Parametry!$C$54:$C$113,0)),""))</f>
        <v/>
      </c>
      <c r="M483" s="7">
        <f t="shared" si="21"/>
        <v>0</v>
      </c>
      <c r="N483" s="13">
        <f>IF(AND(ISNUMBER(D483),ISNUMBER(Parametry!$G$6)),IF(AND(YEAR(D483)=Parametry!$G$6,M483&lt;=Parametry!$G$7),1,0),0)</f>
        <v>0</v>
      </c>
      <c r="O483" s="13">
        <f>IF(C483="",IF(COUNTA(D483:J483)&gt;0,1,0),IF(OR(COUNTIFS($C$9:$C$1008,C483)&lt;&gt;1,NOT(ISNUMBER(D483)),NOT(ISNUMBER(I483)),L483="",AND(F483&lt;&gt;"",COUNTIFS(Umowy!$C$9:$C$108,F483,Umowy!$D$9:$D$108,L483)&lt;&gt;1)),1,0))</f>
        <v>0</v>
      </c>
      <c r="P483" s="7" t="str">
        <f t="shared" si="22"/>
        <v/>
      </c>
      <c r="Q483" s="7" t="str">
        <f t="shared" si="23"/>
        <v/>
      </c>
    </row>
    <row r="484" spans="1:17" ht="24" customHeight="1">
      <c r="A484" s="7"/>
      <c r="B484" s="7"/>
      <c r="C484" s="3"/>
      <c r="D484" s="2"/>
      <c r="E484" s="3"/>
      <c r="F484" s="3"/>
      <c r="G484" s="3"/>
      <c r="H484" s="3"/>
      <c r="I484" s="6"/>
      <c r="J484" s="3"/>
      <c r="K484" s="7"/>
      <c r="L484" s="13" t="str">
        <f>IF(C484="","",IF(COUNTIFS(Parametry!$C$54:$C$113,E484)=1,INDEX(Parametry!$D$54:$D$113,MATCH(E484,Parametry!$C$54:$C$113,0)),""))</f>
        <v/>
      </c>
      <c r="M484" s="7">
        <f t="shared" si="21"/>
        <v>0</v>
      </c>
      <c r="N484" s="13">
        <f>IF(AND(ISNUMBER(D484),ISNUMBER(Parametry!$G$6)),IF(AND(YEAR(D484)=Parametry!$G$6,M484&lt;=Parametry!$G$7),1,0),0)</f>
        <v>0</v>
      </c>
      <c r="O484" s="13">
        <f>IF(C484="",IF(COUNTA(D484:J484)&gt;0,1,0),IF(OR(COUNTIFS($C$9:$C$1008,C484)&lt;&gt;1,NOT(ISNUMBER(D484)),NOT(ISNUMBER(I484)),L484="",AND(F484&lt;&gt;"",COUNTIFS(Umowy!$C$9:$C$108,F484,Umowy!$D$9:$D$108,L484)&lt;&gt;1)),1,0))</f>
        <v>0</v>
      </c>
      <c r="P484" s="7" t="str">
        <f t="shared" si="22"/>
        <v/>
      </c>
      <c r="Q484" s="7" t="str">
        <f t="shared" si="23"/>
        <v/>
      </c>
    </row>
    <row r="485" spans="1:17" ht="24" customHeight="1">
      <c r="A485" s="7"/>
      <c r="B485" s="7"/>
      <c r="C485" s="3"/>
      <c r="D485" s="2"/>
      <c r="E485" s="3"/>
      <c r="F485" s="3"/>
      <c r="G485" s="3"/>
      <c r="H485" s="3"/>
      <c r="I485" s="6"/>
      <c r="J485" s="3"/>
      <c r="K485" s="7"/>
      <c r="L485" s="13" t="str">
        <f>IF(C485="","",IF(COUNTIFS(Parametry!$C$54:$C$113,E485)=1,INDEX(Parametry!$D$54:$D$113,MATCH(E485,Parametry!$C$54:$C$113,0)),""))</f>
        <v/>
      </c>
      <c r="M485" s="7">
        <f t="shared" si="21"/>
        <v>0</v>
      </c>
      <c r="N485" s="13">
        <f>IF(AND(ISNUMBER(D485),ISNUMBER(Parametry!$G$6)),IF(AND(YEAR(D485)=Parametry!$G$6,M485&lt;=Parametry!$G$7),1,0),0)</f>
        <v>0</v>
      </c>
      <c r="O485" s="13">
        <f>IF(C485="",IF(COUNTA(D485:J485)&gt;0,1,0),IF(OR(COUNTIFS($C$9:$C$1008,C485)&lt;&gt;1,NOT(ISNUMBER(D485)),NOT(ISNUMBER(I485)),L485="",AND(F485&lt;&gt;"",COUNTIFS(Umowy!$C$9:$C$108,F485,Umowy!$D$9:$D$108,L485)&lt;&gt;1)),1,0))</f>
        <v>0</v>
      </c>
      <c r="P485" s="7" t="str">
        <f t="shared" si="22"/>
        <v/>
      </c>
      <c r="Q485" s="7" t="str">
        <f t="shared" si="23"/>
        <v/>
      </c>
    </row>
    <row r="486" spans="1:17" ht="24" customHeight="1">
      <c r="A486" s="7"/>
      <c r="B486" s="7"/>
      <c r="C486" s="3"/>
      <c r="D486" s="2"/>
      <c r="E486" s="3"/>
      <c r="F486" s="3"/>
      <c r="G486" s="3"/>
      <c r="H486" s="3"/>
      <c r="I486" s="6"/>
      <c r="J486" s="3"/>
      <c r="K486" s="7"/>
      <c r="L486" s="13" t="str">
        <f>IF(C486="","",IF(COUNTIFS(Parametry!$C$54:$C$113,E486)=1,INDEX(Parametry!$D$54:$D$113,MATCH(E486,Parametry!$C$54:$C$113,0)),""))</f>
        <v/>
      </c>
      <c r="M486" s="7">
        <f t="shared" si="21"/>
        <v>0</v>
      </c>
      <c r="N486" s="13">
        <f>IF(AND(ISNUMBER(D486),ISNUMBER(Parametry!$G$6)),IF(AND(YEAR(D486)=Parametry!$G$6,M486&lt;=Parametry!$G$7),1,0),0)</f>
        <v>0</v>
      </c>
      <c r="O486" s="13">
        <f>IF(C486="",IF(COUNTA(D486:J486)&gt;0,1,0),IF(OR(COUNTIFS($C$9:$C$1008,C486)&lt;&gt;1,NOT(ISNUMBER(D486)),NOT(ISNUMBER(I486)),L486="",AND(F486&lt;&gt;"",COUNTIFS(Umowy!$C$9:$C$108,F486,Umowy!$D$9:$D$108,L486)&lt;&gt;1)),1,0))</f>
        <v>0</v>
      </c>
      <c r="P486" s="7" t="str">
        <f t="shared" si="22"/>
        <v/>
      </c>
      <c r="Q486" s="7" t="str">
        <f t="shared" si="23"/>
        <v/>
      </c>
    </row>
    <row r="487" spans="1:17" ht="24" customHeight="1">
      <c r="A487" s="7"/>
      <c r="B487" s="7"/>
      <c r="C487" s="3"/>
      <c r="D487" s="2"/>
      <c r="E487" s="3"/>
      <c r="F487" s="3"/>
      <c r="G487" s="3"/>
      <c r="H487" s="3"/>
      <c r="I487" s="6"/>
      <c r="J487" s="3"/>
      <c r="K487" s="7"/>
      <c r="L487" s="13" t="str">
        <f>IF(C487="","",IF(COUNTIFS(Parametry!$C$54:$C$113,E487)=1,INDEX(Parametry!$D$54:$D$113,MATCH(E487,Parametry!$C$54:$C$113,0)),""))</f>
        <v/>
      </c>
      <c r="M487" s="7">
        <f t="shared" si="21"/>
        <v>0</v>
      </c>
      <c r="N487" s="13">
        <f>IF(AND(ISNUMBER(D487),ISNUMBER(Parametry!$G$6)),IF(AND(YEAR(D487)=Parametry!$G$6,M487&lt;=Parametry!$G$7),1,0),0)</f>
        <v>0</v>
      </c>
      <c r="O487" s="13">
        <f>IF(C487="",IF(COUNTA(D487:J487)&gt;0,1,0),IF(OR(COUNTIFS($C$9:$C$1008,C487)&lt;&gt;1,NOT(ISNUMBER(D487)),NOT(ISNUMBER(I487)),L487="",AND(F487&lt;&gt;"",COUNTIFS(Umowy!$C$9:$C$108,F487,Umowy!$D$9:$D$108,L487)&lt;&gt;1)),1,0))</f>
        <v>0</v>
      </c>
      <c r="P487" s="7" t="str">
        <f t="shared" si="22"/>
        <v/>
      </c>
      <c r="Q487" s="7" t="str">
        <f t="shared" si="23"/>
        <v/>
      </c>
    </row>
    <row r="488" spans="1:17" ht="24" customHeight="1">
      <c r="A488" s="7"/>
      <c r="B488" s="7"/>
      <c r="C488" s="3"/>
      <c r="D488" s="2"/>
      <c r="E488" s="3"/>
      <c r="F488" s="3"/>
      <c r="G488" s="3"/>
      <c r="H488" s="3"/>
      <c r="I488" s="6"/>
      <c r="J488" s="3"/>
      <c r="K488" s="7"/>
      <c r="L488" s="13" t="str">
        <f>IF(C488="","",IF(COUNTIFS(Parametry!$C$54:$C$113,E488)=1,INDEX(Parametry!$D$54:$D$113,MATCH(E488,Parametry!$C$54:$C$113,0)),""))</f>
        <v/>
      </c>
      <c r="M488" s="7">
        <f t="shared" si="21"/>
        <v>0</v>
      </c>
      <c r="N488" s="13">
        <f>IF(AND(ISNUMBER(D488),ISNUMBER(Parametry!$G$6)),IF(AND(YEAR(D488)=Parametry!$G$6,M488&lt;=Parametry!$G$7),1,0),0)</f>
        <v>0</v>
      </c>
      <c r="O488" s="13">
        <f>IF(C488="",IF(COUNTA(D488:J488)&gt;0,1,0),IF(OR(COUNTIFS($C$9:$C$1008,C488)&lt;&gt;1,NOT(ISNUMBER(D488)),NOT(ISNUMBER(I488)),L488="",AND(F488&lt;&gt;"",COUNTIFS(Umowy!$C$9:$C$108,F488,Umowy!$D$9:$D$108,L488)&lt;&gt;1)),1,0))</f>
        <v>0</v>
      </c>
      <c r="P488" s="7" t="str">
        <f t="shared" si="22"/>
        <v/>
      </c>
      <c r="Q488" s="7" t="str">
        <f t="shared" si="23"/>
        <v/>
      </c>
    </row>
    <row r="489" spans="1:17" ht="24" customHeight="1">
      <c r="A489" s="7"/>
      <c r="B489" s="7"/>
      <c r="C489" s="3"/>
      <c r="D489" s="2"/>
      <c r="E489" s="3"/>
      <c r="F489" s="3"/>
      <c r="G489" s="3"/>
      <c r="H489" s="3"/>
      <c r="I489" s="6"/>
      <c r="J489" s="3"/>
      <c r="K489" s="7"/>
      <c r="L489" s="13" t="str">
        <f>IF(C489="","",IF(COUNTIFS(Parametry!$C$54:$C$113,E489)=1,INDEX(Parametry!$D$54:$D$113,MATCH(E489,Parametry!$C$54:$C$113,0)),""))</f>
        <v/>
      </c>
      <c r="M489" s="7">
        <f t="shared" si="21"/>
        <v>0</v>
      </c>
      <c r="N489" s="13">
        <f>IF(AND(ISNUMBER(D489),ISNUMBER(Parametry!$G$6)),IF(AND(YEAR(D489)=Parametry!$G$6,M489&lt;=Parametry!$G$7),1,0),0)</f>
        <v>0</v>
      </c>
      <c r="O489" s="13">
        <f>IF(C489="",IF(COUNTA(D489:J489)&gt;0,1,0),IF(OR(COUNTIFS($C$9:$C$1008,C489)&lt;&gt;1,NOT(ISNUMBER(D489)),NOT(ISNUMBER(I489)),L489="",AND(F489&lt;&gt;"",COUNTIFS(Umowy!$C$9:$C$108,F489,Umowy!$D$9:$D$108,L489)&lt;&gt;1)),1,0))</f>
        <v>0</v>
      </c>
      <c r="P489" s="7" t="str">
        <f t="shared" si="22"/>
        <v/>
      </c>
      <c r="Q489" s="7" t="str">
        <f t="shared" si="23"/>
        <v/>
      </c>
    </row>
    <row r="490" spans="1:17" ht="24" customHeight="1">
      <c r="A490" s="7"/>
      <c r="B490" s="7"/>
      <c r="C490" s="3"/>
      <c r="D490" s="2"/>
      <c r="E490" s="3"/>
      <c r="F490" s="3"/>
      <c r="G490" s="3"/>
      <c r="H490" s="3"/>
      <c r="I490" s="6"/>
      <c r="J490" s="3"/>
      <c r="K490" s="7"/>
      <c r="L490" s="13" t="str">
        <f>IF(C490="","",IF(COUNTIFS(Parametry!$C$54:$C$113,E490)=1,INDEX(Parametry!$D$54:$D$113,MATCH(E490,Parametry!$C$54:$C$113,0)),""))</f>
        <v/>
      </c>
      <c r="M490" s="7">
        <f t="shared" si="21"/>
        <v>0</v>
      </c>
      <c r="N490" s="13">
        <f>IF(AND(ISNUMBER(D490),ISNUMBER(Parametry!$G$6)),IF(AND(YEAR(D490)=Parametry!$G$6,M490&lt;=Parametry!$G$7),1,0),0)</f>
        <v>0</v>
      </c>
      <c r="O490" s="13">
        <f>IF(C490="",IF(COUNTA(D490:J490)&gt;0,1,0),IF(OR(COUNTIFS($C$9:$C$1008,C490)&lt;&gt;1,NOT(ISNUMBER(D490)),NOT(ISNUMBER(I490)),L490="",AND(F490&lt;&gt;"",COUNTIFS(Umowy!$C$9:$C$108,F490,Umowy!$D$9:$D$108,L490)&lt;&gt;1)),1,0))</f>
        <v>0</v>
      </c>
      <c r="P490" s="7" t="str">
        <f t="shared" si="22"/>
        <v/>
      </c>
      <c r="Q490" s="7" t="str">
        <f t="shared" si="23"/>
        <v/>
      </c>
    </row>
    <row r="491" spans="1:17" ht="24" customHeight="1">
      <c r="A491" s="7"/>
      <c r="B491" s="7"/>
      <c r="C491" s="3"/>
      <c r="D491" s="2"/>
      <c r="E491" s="3"/>
      <c r="F491" s="3"/>
      <c r="G491" s="3"/>
      <c r="H491" s="3"/>
      <c r="I491" s="6"/>
      <c r="J491" s="3"/>
      <c r="K491" s="7"/>
      <c r="L491" s="13" t="str">
        <f>IF(C491="","",IF(COUNTIFS(Parametry!$C$54:$C$113,E491)=1,INDEX(Parametry!$D$54:$D$113,MATCH(E491,Parametry!$C$54:$C$113,0)),""))</f>
        <v/>
      </c>
      <c r="M491" s="7">
        <f t="shared" si="21"/>
        <v>0</v>
      </c>
      <c r="N491" s="13">
        <f>IF(AND(ISNUMBER(D491),ISNUMBER(Parametry!$G$6)),IF(AND(YEAR(D491)=Parametry!$G$6,M491&lt;=Parametry!$G$7),1,0),0)</f>
        <v>0</v>
      </c>
      <c r="O491" s="13">
        <f>IF(C491="",IF(COUNTA(D491:J491)&gt;0,1,0),IF(OR(COUNTIFS($C$9:$C$1008,C491)&lt;&gt;1,NOT(ISNUMBER(D491)),NOT(ISNUMBER(I491)),L491="",AND(F491&lt;&gt;"",COUNTIFS(Umowy!$C$9:$C$108,F491,Umowy!$D$9:$D$108,L491)&lt;&gt;1)),1,0))</f>
        <v>0</v>
      </c>
      <c r="P491" s="7" t="str">
        <f t="shared" si="22"/>
        <v/>
      </c>
      <c r="Q491" s="7" t="str">
        <f t="shared" si="23"/>
        <v/>
      </c>
    </row>
    <row r="492" spans="1:17" ht="24" customHeight="1">
      <c r="A492" s="7"/>
      <c r="B492" s="7"/>
      <c r="C492" s="3"/>
      <c r="D492" s="2"/>
      <c r="E492" s="3"/>
      <c r="F492" s="3"/>
      <c r="G492" s="3"/>
      <c r="H492" s="3"/>
      <c r="I492" s="6"/>
      <c r="J492" s="3"/>
      <c r="K492" s="7"/>
      <c r="L492" s="13" t="str">
        <f>IF(C492="","",IF(COUNTIFS(Parametry!$C$54:$C$113,E492)=1,INDEX(Parametry!$D$54:$D$113,MATCH(E492,Parametry!$C$54:$C$113,0)),""))</f>
        <v/>
      </c>
      <c r="M492" s="7">
        <f t="shared" si="21"/>
        <v>0</v>
      </c>
      <c r="N492" s="13">
        <f>IF(AND(ISNUMBER(D492),ISNUMBER(Parametry!$G$6)),IF(AND(YEAR(D492)=Parametry!$G$6,M492&lt;=Parametry!$G$7),1,0),0)</f>
        <v>0</v>
      </c>
      <c r="O492" s="13">
        <f>IF(C492="",IF(COUNTA(D492:J492)&gt;0,1,0),IF(OR(COUNTIFS($C$9:$C$1008,C492)&lt;&gt;1,NOT(ISNUMBER(D492)),NOT(ISNUMBER(I492)),L492="",AND(F492&lt;&gt;"",COUNTIFS(Umowy!$C$9:$C$108,F492,Umowy!$D$9:$D$108,L492)&lt;&gt;1)),1,0))</f>
        <v>0</v>
      </c>
      <c r="P492" s="7" t="str">
        <f t="shared" si="22"/>
        <v/>
      </c>
      <c r="Q492" s="7" t="str">
        <f t="shared" si="23"/>
        <v/>
      </c>
    </row>
    <row r="493" spans="1:17" ht="24" customHeight="1">
      <c r="A493" s="7"/>
      <c r="B493" s="7"/>
      <c r="C493" s="3"/>
      <c r="D493" s="2"/>
      <c r="E493" s="3"/>
      <c r="F493" s="3"/>
      <c r="G493" s="3"/>
      <c r="H493" s="3"/>
      <c r="I493" s="6"/>
      <c r="J493" s="3"/>
      <c r="K493" s="7"/>
      <c r="L493" s="13" t="str">
        <f>IF(C493="","",IF(COUNTIFS(Parametry!$C$54:$C$113,E493)=1,INDEX(Parametry!$D$54:$D$113,MATCH(E493,Parametry!$C$54:$C$113,0)),""))</f>
        <v/>
      </c>
      <c r="M493" s="7">
        <f t="shared" si="21"/>
        <v>0</v>
      </c>
      <c r="N493" s="13">
        <f>IF(AND(ISNUMBER(D493),ISNUMBER(Parametry!$G$6)),IF(AND(YEAR(D493)=Parametry!$G$6,M493&lt;=Parametry!$G$7),1,0),0)</f>
        <v>0</v>
      </c>
      <c r="O493" s="13">
        <f>IF(C493="",IF(COUNTA(D493:J493)&gt;0,1,0),IF(OR(COUNTIFS($C$9:$C$1008,C493)&lt;&gt;1,NOT(ISNUMBER(D493)),NOT(ISNUMBER(I493)),L493="",AND(F493&lt;&gt;"",COUNTIFS(Umowy!$C$9:$C$108,F493,Umowy!$D$9:$D$108,L493)&lt;&gt;1)),1,0))</f>
        <v>0</v>
      </c>
      <c r="P493" s="7" t="str">
        <f t="shared" si="22"/>
        <v/>
      </c>
      <c r="Q493" s="7" t="str">
        <f t="shared" si="23"/>
        <v/>
      </c>
    </row>
    <row r="494" spans="1:17" ht="24" customHeight="1">
      <c r="A494" s="7"/>
      <c r="B494" s="7"/>
      <c r="C494" s="3"/>
      <c r="D494" s="2"/>
      <c r="E494" s="3"/>
      <c r="F494" s="3"/>
      <c r="G494" s="3"/>
      <c r="H494" s="3"/>
      <c r="I494" s="6"/>
      <c r="J494" s="3"/>
      <c r="K494" s="7"/>
      <c r="L494" s="13" t="str">
        <f>IF(C494="","",IF(COUNTIFS(Parametry!$C$54:$C$113,E494)=1,INDEX(Parametry!$D$54:$D$113,MATCH(E494,Parametry!$C$54:$C$113,0)),""))</f>
        <v/>
      </c>
      <c r="M494" s="7">
        <f t="shared" si="21"/>
        <v>0</v>
      </c>
      <c r="N494" s="13">
        <f>IF(AND(ISNUMBER(D494),ISNUMBER(Parametry!$G$6)),IF(AND(YEAR(D494)=Parametry!$G$6,M494&lt;=Parametry!$G$7),1,0),0)</f>
        <v>0</v>
      </c>
      <c r="O494" s="13">
        <f>IF(C494="",IF(COUNTA(D494:J494)&gt;0,1,0),IF(OR(COUNTIFS($C$9:$C$1008,C494)&lt;&gt;1,NOT(ISNUMBER(D494)),NOT(ISNUMBER(I494)),L494="",AND(F494&lt;&gt;"",COUNTIFS(Umowy!$C$9:$C$108,F494,Umowy!$D$9:$D$108,L494)&lt;&gt;1)),1,0))</f>
        <v>0</v>
      </c>
      <c r="P494" s="7" t="str">
        <f t="shared" si="22"/>
        <v/>
      </c>
      <c r="Q494" s="7" t="str">
        <f t="shared" si="23"/>
        <v/>
      </c>
    </row>
    <row r="495" spans="1:17" ht="24" customHeight="1">
      <c r="A495" s="7"/>
      <c r="B495" s="7"/>
      <c r="C495" s="3"/>
      <c r="D495" s="2"/>
      <c r="E495" s="3"/>
      <c r="F495" s="3"/>
      <c r="G495" s="3"/>
      <c r="H495" s="3"/>
      <c r="I495" s="6"/>
      <c r="J495" s="3"/>
      <c r="K495" s="7"/>
      <c r="L495" s="13" t="str">
        <f>IF(C495="","",IF(COUNTIFS(Parametry!$C$54:$C$113,E495)=1,INDEX(Parametry!$D$54:$D$113,MATCH(E495,Parametry!$C$54:$C$113,0)),""))</f>
        <v/>
      </c>
      <c r="M495" s="7">
        <f t="shared" si="21"/>
        <v>0</v>
      </c>
      <c r="N495" s="13">
        <f>IF(AND(ISNUMBER(D495),ISNUMBER(Parametry!$G$6)),IF(AND(YEAR(D495)=Parametry!$G$6,M495&lt;=Parametry!$G$7),1,0),0)</f>
        <v>0</v>
      </c>
      <c r="O495" s="13">
        <f>IF(C495="",IF(COUNTA(D495:J495)&gt;0,1,0),IF(OR(COUNTIFS($C$9:$C$1008,C495)&lt;&gt;1,NOT(ISNUMBER(D495)),NOT(ISNUMBER(I495)),L495="",AND(F495&lt;&gt;"",COUNTIFS(Umowy!$C$9:$C$108,F495,Umowy!$D$9:$D$108,L495)&lt;&gt;1)),1,0))</f>
        <v>0</v>
      </c>
      <c r="P495" s="7" t="str">
        <f t="shared" si="22"/>
        <v/>
      </c>
      <c r="Q495" s="7" t="str">
        <f t="shared" si="23"/>
        <v/>
      </c>
    </row>
    <row r="496" spans="1:17" ht="24" customHeight="1">
      <c r="A496" s="7"/>
      <c r="B496" s="7"/>
      <c r="C496" s="3"/>
      <c r="D496" s="2"/>
      <c r="E496" s="3"/>
      <c r="F496" s="3"/>
      <c r="G496" s="3"/>
      <c r="H496" s="3"/>
      <c r="I496" s="6"/>
      <c r="J496" s="3"/>
      <c r="K496" s="7"/>
      <c r="L496" s="13" t="str">
        <f>IF(C496="","",IF(COUNTIFS(Parametry!$C$54:$C$113,E496)=1,INDEX(Parametry!$D$54:$D$113,MATCH(E496,Parametry!$C$54:$C$113,0)),""))</f>
        <v/>
      </c>
      <c r="M496" s="7">
        <f t="shared" si="21"/>
        <v>0</v>
      </c>
      <c r="N496" s="13">
        <f>IF(AND(ISNUMBER(D496),ISNUMBER(Parametry!$G$6)),IF(AND(YEAR(D496)=Parametry!$G$6,M496&lt;=Parametry!$G$7),1,0),0)</f>
        <v>0</v>
      </c>
      <c r="O496" s="13">
        <f>IF(C496="",IF(COUNTA(D496:J496)&gt;0,1,0),IF(OR(COUNTIFS($C$9:$C$1008,C496)&lt;&gt;1,NOT(ISNUMBER(D496)),NOT(ISNUMBER(I496)),L496="",AND(F496&lt;&gt;"",COUNTIFS(Umowy!$C$9:$C$108,F496,Umowy!$D$9:$D$108,L496)&lt;&gt;1)),1,0))</f>
        <v>0</v>
      </c>
      <c r="P496" s="7" t="str">
        <f t="shared" si="22"/>
        <v/>
      </c>
      <c r="Q496" s="7" t="str">
        <f t="shared" si="23"/>
        <v/>
      </c>
    </row>
    <row r="497" spans="1:17" ht="24" customHeight="1">
      <c r="A497" s="7"/>
      <c r="B497" s="7"/>
      <c r="C497" s="3"/>
      <c r="D497" s="2"/>
      <c r="E497" s="3"/>
      <c r="F497" s="3"/>
      <c r="G497" s="3"/>
      <c r="H497" s="3"/>
      <c r="I497" s="6"/>
      <c r="J497" s="3"/>
      <c r="K497" s="7"/>
      <c r="L497" s="13" t="str">
        <f>IF(C497="","",IF(COUNTIFS(Parametry!$C$54:$C$113,E497)=1,INDEX(Parametry!$D$54:$D$113,MATCH(E497,Parametry!$C$54:$C$113,0)),""))</f>
        <v/>
      </c>
      <c r="M497" s="7">
        <f t="shared" si="21"/>
        <v>0</v>
      </c>
      <c r="N497" s="13">
        <f>IF(AND(ISNUMBER(D497),ISNUMBER(Parametry!$G$6)),IF(AND(YEAR(D497)=Parametry!$G$6,M497&lt;=Parametry!$G$7),1,0),0)</f>
        <v>0</v>
      </c>
      <c r="O497" s="13">
        <f>IF(C497="",IF(COUNTA(D497:J497)&gt;0,1,0),IF(OR(COUNTIFS($C$9:$C$1008,C497)&lt;&gt;1,NOT(ISNUMBER(D497)),NOT(ISNUMBER(I497)),L497="",AND(F497&lt;&gt;"",COUNTIFS(Umowy!$C$9:$C$108,F497,Umowy!$D$9:$D$108,L497)&lt;&gt;1)),1,0))</f>
        <v>0</v>
      </c>
      <c r="P497" s="7" t="str">
        <f t="shared" si="22"/>
        <v/>
      </c>
      <c r="Q497" s="7" t="str">
        <f t="shared" si="23"/>
        <v/>
      </c>
    </row>
    <row r="498" spans="1:17" ht="24" customHeight="1">
      <c r="A498" s="7"/>
      <c r="B498" s="7"/>
      <c r="C498" s="3"/>
      <c r="D498" s="2"/>
      <c r="E498" s="3"/>
      <c r="F498" s="3"/>
      <c r="G498" s="3"/>
      <c r="H498" s="3"/>
      <c r="I498" s="6"/>
      <c r="J498" s="3"/>
      <c r="K498" s="7"/>
      <c r="L498" s="13" t="str">
        <f>IF(C498="","",IF(COUNTIFS(Parametry!$C$54:$C$113,E498)=1,INDEX(Parametry!$D$54:$D$113,MATCH(E498,Parametry!$C$54:$C$113,0)),""))</f>
        <v/>
      </c>
      <c r="M498" s="7">
        <f t="shared" si="21"/>
        <v>0</v>
      </c>
      <c r="N498" s="13">
        <f>IF(AND(ISNUMBER(D498),ISNUMBER(Parametry!$G$6)),IF(AND(YEAR(D498)=Parametry!$G$6,M498&lt;=Parametry!$G$7),1,0),0)</f>
        <v>0</v>
      </c>
      <c r="O498" s="13">
        <f>IF(C498="",IF(COUNTA(D498:J498)&gt;0,1,0),IF(OR(COUNTIFS($C$9:$C$1008,C498)&lt;&gt;1,NOT(ISNUMBER(D498)),NOT(ISNUMBER(I498)),L498="",AND(F498&lt;&gt;"",COUNTIFS(Umowy!$C$9:$C$108,F498,Umowy!$D$9:$D$108,L498)&lt;&gt;1)),1,0))</f>
        <v>0</v>
      </c>
      <c r="P498" s="7" t="str">
        <f t="shared" si="22"/>
        <v/>
      </c>
      <c r="Q498" s="7" t="str">
        <f t="shared" si="23"/>
        <v/>
      </c>
    </row>
    <row r="499" spans="1:17" ht="24" customHeight="1">
      <c r="A499" s="7"/>
      <c r="B499" s="7"/>
      <c r="C499" s="3"/>
      <c r="D499" s="2"/>
      <c r="E499" s="3"/>
      <c r="F499" s="3"/>
      <c r="G499" s="3"/>
      <c r="H499" s="3"/>
      <c r="I499" s="6"/>
      <c r="J499" s="3"/>
      <c r="K499" s="7"/>
      <c r="L499" s="13" t="str">
        <f>IF(C499="","",IF(COUNTIFS(Parametry!$C$54:$C$113,E499)=1,INDEX(Parametry!$D$54:$D$113,MATCH(E499,Parametry!$C$54:$C$113,0)),""))</f>
        <v/>
      </c>
      <c r="M499" s="7">
        <f t="shared" si="21"/>
        <v>0</v>
      </c>
      <c r="N499" s="13">
        <f>IF(AND(ISNUMBER(D499),ISNUMBER(Parametry!$G$6)),IF(AND(YEAR(D499)=Parametry!$G$6,M499&lt;=Parametry!$G$7),1,0),0)</f>
        <v>0</v>
      </c>
      <c r="O499" s="13">
        <f>IF(C499="",IF(COUNTA(D499:J499)&gt;0,1,0),IF(OR(COUNTIFS($C$9:$C$1008,C499)&lt;&gt;1,NOT(ISNUMBER(D499)),NOT(ISNUMBER(I499)),L499="",AND(F499&lt;&gt;"",COUNTIFS(Umowy!$C$9:$C$108,F499,Umowy!$D$9:$D$108,L499)&lt;&gt;1)),1,0))</f>
        <v>0</v>
      </c>
      <c r="P499" s="7" t="str">
        <f t="shared" si="22"/>
        <v/>
      </c>
      <c r="Q499" s="7" t="str">
        <f t="shared" si="23"/>
        <v/>
      </c>
    </row>
    <row r="500" spans="1:17" ht="24" customHeight="1">
      <c r="A500" s="7"/>
      <c r="B500" s="7"/>
      <c r="C500" s="3"/>
      <c r="D500" s="2"/>
      <c r="E500" s="3"/>
      <c r="F500" s="3"/>
      <c r="G500" s="3"/>
      <c r="H500" s="3"/>
      <c r="I500" s="6"/>
      <c r="J500" s="3"/>
      <c r="K500" s="7"/>
      <c r="L500" s="13" t="str">
        <f>IF(C500="","",IF(COUNTIFS(Parametry!$C$54:$C$113,E500)=1,INDEX(Parametry!$D$54:$D$113,MATCH(E500,Parametry!$C$54:$C$113,0)),""))</f>
        <v/>
      </c>
      <c r="M500" s="7">
        <f t="shared" si="21"/>
        <v>0</v>
      </c>
      <c r="N500" s="13">
        <f>IF(AND(ISNUMBER(D500),ISNUMBER(Parametry!$G$6)),IF(AND(YEAR(D500)=Parametry!$G$6,M500&lt;=Parametry!$G$7),1,0),0)</f>
        <v>0</v>
      </c>
      <c r="O500" s="13">
        <f>IF(C500="",IF(COUNTA(D500:J500)&gt;0,1,0),IF(OR(COUNTIFS($C$9:$C$1008,C500)&lt;&gt;1,NOT(ISNUMBER(D500)),NOT(ISNUMBER(I500)),L500="",AND(F500&lt;&gt;"",COUNTIFS(Umowy!$C$9:$C$108,F500,Umowy!$D$9:$D$108,L500)&lt;&gt;1)),1,0))</f>
        <v>0</v>
      </c>
      <c r="P500" s="7" t="str">
        <f t="shared" si="22"/>
        <v/>
      </c>
      <c r="Q500" s="7" t="str">
        <f t="shared" si="23"/>
        <v/>
      </c>
    </row>
    <row r="501" spans="1:17" ht="24" customHeight="1">
      <c r="A501" s="7"/>
      <c r="B501" s="7"/>
      <c r="C501" s="3"/>
      <c r="D501" s="2"/>
      <c r="E501" s="3"/>
      <c r="F501" s="3"/>
      <c r="G501" s="3"/>
      <c r="H501" s="3"/>
      <c r="I501" s="6"/>
      <c r="J501" s="3"/>
      <c r="K501" s="7"/>
      <c r="L501" s="13" t="str">
        <f>IF(C501="","",IF(COUNTIFS(Parametry!$C$54:$C$113,E501)=1,INDEX(Parametry!$D$54:$D$113,MATCH(E501,Parametry!$C$54:$C$113,0)),""))</f>
        <v/>
      </c>
      <c r="M501" s="7">
        <f t="shared" si="21"/>
        <v>0</v>
      </c>
      <c r="N501" s="13">
        <f>IF(AND(ISNUMBER(D501),ISNUMBER(Parametry!$G$6)),IF(AND(YEAR(D501)=Parametry!$G$6,M501&lt;=Parametry!$G$7),1,0),0)</f>
        <v>0</v>
      </c>
      <c r="O501" s="13">
        <f>IF(C501="",IF(COUNTA(D501:J501)&gt;0,1,0),IF(OR(COUNTIFS($C$9:$C$1008,C501)&lt;&gt;1,NOT(ISNUMBER(D501)),NOT(ISNUMBER(I501)),L501="",AND(F501&lt;&gt;"",COUNTIFS(Umowy!$C$9:$C$108,F501,Umowy!$D$9:$D$108,L501)&lt;&gt;1)),1,0))</f>
        <v>0</v>
      </c>
      <c r="P501" s="7" t="str">
        <f t="shared" si="22"/>
        <v/>
      </c>
      <c r="Q501" s="7" t="str">
        <f t="shared" si="23"/>
        <v/>
      </c>
    </row>
    <row r="502" spans="1:17" ht="24" customHeight="1">
      <c r="A502" s="7"/>
      <c r="B502" s="7"/>
      <c r="C502" s="3"/>
      <c r="D502" s="2"/>
      <c r="E502" s="3"/>
      <c r="F502" s="3"/>
      <c r="G502" s="3"/>
      <c r="H502" s="3"/>
      <c r="I502" s="6"/>
      <c r="J502" s="3"/>
      <c r="K502" s="7"/>
      <c r="L502" s="13" t="str">
        <f>IF(C502="","",IF(COUNTIFS(Parametry!$C$54:$C$113,E502)=1,INDEX(Parametry!$D$54:$D$113,MATCH(E502,Parametry!$C$54:$C$113,0)),""))</f>
        <v/>
      </c>
      <c r="M502" s="7">
        <f t="shared" si="21"/>
        <v>0</v>
      </c>
      <c r="N502" s="13">
        <f>IF(AND(ISNUMBER(D502),ISNUMBER(Parametry!$G$6)),IF(AND(YEAR(D502)=Parametry!$G$6,M502&lt;=Parametry!$G$7),1,0),0)</f>
        <v>0</v>
      </c>
      <c r="O502" s="13">
        <f>IF(C502="",IF(COUNTA(D502:J502)&gt;0,1,0),IF(OR(COUNTIFS($C$9:$C$1008,C502)&lt;&gt;1,NOT(ISNUMBER(D502)),NOT(ISNUMBER(I502)),L502="",AND(F502&lt;&gt;"",COUNTIFS(Umowy!$C$9:$C$108,F502,Umowy!$D$9:$D$108,L502)&lt;&gt;1)),1,0))</f>
        <v>0</v>
      </c>
      <c r="P502" s="7" t="str">
        <f t="shared" si="22"/>
        <v/>
      </c>
      <c r="Q502" s="7" t="str">
        <f t="shared" si="23"/>
        <v/>
      </c>
    </row>
    <row r="503" spans="1:17" ht="24" customHeight="1">
      <c r="A503" s="7"/>
      <c r="B503" s="7"/>
      <c r="C503" s="3"/>
      <c r="D503" s="2"/>
      <c r="E503" s="3"/>
      <c r="F503" s="3"/>
      <c r="G503" s="3"/>
      <c r="H503" s="3"/>
      <c r="I503" s="6"/>
      <c r="J503" s="3"/>
      <c r="K503" s="7"/>
      <c r="L503" s="13" t="str">
        <f>IF(C503="","",IF(COUNTIFS(Parametry!$C$54:$C$113,E503)=1,INDEX(Parametry!$D$54:$D$113,MATCH(E503,Parametry!$C$54:$C$113,0)),""))</f>
        <v/>
      </c>
      <c r="M503" s="7">
        <f t="shared" si="21"/>
        <v>0</v>
      </c>
      <c r="N503" s="13">
        <f>IF(AND(ISNUMBER(D503),ISNUMBER(Parametry!$G$6)),IF(AND(YEAR(D503)=Parametry!$G$6,M503&lt;=Parametry!$G$7),1,0),0)</f>
        <v>0</v>
      </c>
      <c r="O503" s="13">
        <f>IF(C503="",IF(COUNTA(D503:J503)&gt;0,1,0),IF(OR(COUNTIFS($C$9:$C$1008,C503)&lt;&gt;1,NOT(ISNUMBER(D503)),NOT(ISNUMBER(I503)),L503="",AND(F503&lt;&gt;"",COUNTIFS(Umowy!$C$9:$C$108,F503,Umowy!$D$9:$D$108,L503)&lt;&gt;1)),1,0))</f>
        <v>0</v>
      </c>
      <c r="P503" s="7" t="str">
        <f t="shared" si="22"/>
        <v/>
      </c>
      <c r="Q503" s="7" t="str">
        <f t="shared" si="23"/>
        <v/>
      </c>
    </row>
    <row r="504" spans="1:17" ht="24" customHeight="1">
      <c r="A504" s="7"/>
      <c r="B504" s="7"/>
      <c r="C504" s="3"/>
      <c r="D504" s="2"/>
      <c r="E504" s="3"/>
      <c r="F504" s="3"/>
      <c r="G504" s="3"/>
      <c r="H504" s="3"/>
      <c r="I504" s="6"/>
      <c r="J504" s="3"/>
      <c r="K504" s="7"/>
      <c r="L504" s="13" t="str">
        <f>IF(C504="","",IF(COUNTIFS(Parametry!$C$54:$C$113,E504)=1,INDEX(Parametry!$D$54:$D$113,MATCH(E504,Parametry!$C$54:$C$113,0)),""))</f>
        <v/>
      </c>
      <c r="M504" s="7">
        <f t="shared" si="21"/>
        <v>0</v>
      </c>
      <c r="N504" s="13">
        <f>IF(AND(ISNUMBER(D504),ISNUMBER(Parametry!$G$6)),IF(AND(YEAR(D504)=Parametry!$G$6,M504&lt;=Parametry!$G$7),1,0),0)</f>
        <v>0</v>
      </c>
      <c r="O504" s="13">
        <f>IF(C504="",IF(COUNTA(D504:J504)&gt;0,1,0),IF(OR(COUNTIFS($C$9:$C$1008,C504)&lt;&gt;1,NOT(ISNUMBER(D504)),NOT(ISNUMBER(I504)),L504="",AND(F504&lt;&gt;"",COUNTIFS(Umowy!$C$9:$C$108,F504,Umowy!$D$9:$D$108,L504)&lt;&gt;1)),1,0))</f>
        <v>0</v>
      </c>
      <c r="P504" s="7" t="str">
        <f t="shared" si="22"/>
        <v/>
      </c>
      <c r="Q504" s="7" t="str">
        <f t="shared" si="23"/>
        <v/>
      </c>
    </row>
    <row r="505" spans="1:17" ht="24" customHeight="1">
      <c r="A505" s="7"/>
      <c r="B505" s="7"/>
      <c r="C505" s="3"/>
      <c r="D505" s="2"/>
      <c r="E505" s="3"/>
      <c r="F505" s="3"/>
      <c r="G505" s="3"/>
      <c r="H505" s="3"/>
      <c r="I505" s="6"/>
      <c r="J505" s="3"/>
      <c r="K505" s="7"/>
      <c r="L505" s="13" t="str">
        <f>IF(C505="","",IF(COUNTIFS(Parametry!$C$54:$C$113,E505)=1,INDEX(Parametry!$D$54:$D$113,MATCH(E505,Parametry!$C$54:$C$113,0)),""))</f>
        <v/>
      </c>
      <c r="M505" s="7">
        <f t="shared" si="21"/>
        <v>0</v>
      </c>
      <c r="N505" s="13">
        <f>IF(AND(ISNUMBER(D505),ISNUMBER(Parametry!$G$6)),IF(AND(YEAR(D505)=Parametry!$G$6,M505&lt;=Parametry!$G$7),1,0),0)</f>
        <v>0</v>
      </c>
      <c r="O505" s="13">
        <f>IF(C505="",IF(COUNTA(D505:J505)&gt;0,1,0),IF(OR(COUNTIFS($C$9:$C$1008,C505)&lt;&gt;1,NOT(ISNUMBER(D505)),NOT(ISNUMBER(I505)),L505="",AND(F505&lt;&gt;"",COUNTIFS(Umowy!$C$9:$C$108,F505,Umowy!$D$9:$D$108,L505)&lt;&gt;1)),1,0))</f>
        <v>0</v>
      </c>
      <c r="P505" s="7" t="str">
        <f t="shared" si="22"/>
        <v/>
      </c>
      <c r="Q505" s="7" t="str">
        <f t="shared" si="23"/>
        <v/>
      </c>
    </row>
    <row r="506" spans="1:17" ht="24" customHeight="1">
      <c r="A506" s="7"/>
      <c r="B506" s="7"/>
      <c r="C506" s="3"/>
      <c r="D506" s="2"/>
      <c r="E506" s="3"/>
      <c r="F506" s="3"/>
      <c r="G506" s="3"/>
      <c r="H506" s="3"/>
      <c r="I506" s="6"/>
      <c r="J506" s="3"/>
      <c r="K506" s="7"/>
      <c r="L506" s="13" t="str">
        <f>IF(C506="","",IF(COUNTIFS(Parametry!$C$54:$C$113,E506)=1,INDEX(Parametry!$D$54:$D$113,MATCH(E506,Parametry!$C$54:$C$113,0)),""))</f>
        <v/>
      </c>
      <c r="M506" s="7">
        <f t="shared" si="21"/>
        <v>0</v>
      </c>
      <c r="N506" s="13">
        <f>IF(AND(ISNUMBER(D506),ISNUMBER(Parametry!$G$6)),IF(AND(YEAR(D506)=Parametry!$G$6,M506&lt;=Parametry!$G$7),1,0),0)</f>
        <v>0</v>
      </c>
      <c r="O506" s="13">
        <f>IF(C506="",IF(COUNTA(D506:J506)&gt;0,1,0),IF(OR(COUNTIFS($C$9:$C$1008,C506)&lt;&gt;1,NOT(ISNUMBER(D506)),NOT(ISNUMBER(I506)),L506="",AND(F506&lt;&gt;"",COUNTIFS(Umowy!$C$9:$C$108,F506,Umowy!$D$9:$D$108,L506)&lt;&gt;1)),1,0))</f>
        <v>0</v>
      </c>
      <c r="P506" s="7" t="str">
        <f t="shared" si="22"/>
        <v/>
      </c>
      <c r="Q506" s="7" t="str">
        <f t="shared" si="23"/>
        <v/>
      </c>
    </row>
    <row r="507" spans="1:17" ht="24" customHeight="1">
      <c r="A507" s="7"/>
      <c r="B507" s="7"/>
      <c r="C507" s="3"/>
      <c r="D507" s="2"/>
      <c r="E507" s="3"/>
      <c r="F507" s="3"/>
      <c r="G507" s="3"/>
      <c r="H507" s="3"/>
      <c r="I507" s="6"/>
      <c r="J507" s="3"/>
      <c r="K507" s="7"/>
      <c r="L507" s="13" t="str">
        <f>IF(C507="","",IF(COUNTIFS(Parametry!$C$54:$C$113,E507)=1,INDEX(Parametry!$D$54:$D$113,MATCH(E507,Parametry!$C$54:$C$113,0)),""))</f>
        <v/>
      </c>
      <c r="M507" s="7">
        <f t="shared" si="21"/>
        <v>0</v>
      </c>
      <c r="N507" s="13">
        <f>IF(AND(ISNUMBER(D507),ISNUMBER(Parametry!$G$6)),IF(AND(YEAR(D507)=Parametry!$G$6,M507&lt;=Parametry!$G$7),1,0),0)</f>
        <v>0</v>
      </c>
      <c r="O507" s="13">
        <f>IF(C507="",IF(COUNTA(D507:J507)&gt;0,1,0),IF(OR(COUNTIFS($C$9:$C$1008,C507)&lt;&gt;1,NOT(ISNUMBER(D507)),NOT(ISNUMBER(I507)),L507="",AND(F507&lt;&gt;"",COUNTIFS(Umowy!$C$9:$C$108,F507,Umowy!$D$9:$D$108,L507)&lt;&gt;1)),1,0))</f>
        <v>0</v>
      </c>
      <c r="P507" s="7" t="str">
        <f t="shared" si="22"/>
        <v/>
      </c>
      <c r="Q507" s="7" t="str">
        <f t="shared" si="23"/>
        <v/>
      </c>
    </row>
    <row r="508" spans="1:17" ht="24" customHeight="1">
      <c r="A508" s="7"/>
      <c r="B508" s="7"/>
      <c r="C508" s="3"/>
      <c r="D508" s="2"/>
      <c r="E508" s="3"/>
      <c r="F508" s="3"/>
      <c r="G508" s="3"/>
      <c r="H508" s="3"/>
      <c r="I508" s="6"/>
      <c r="J508" s="3"/>
      <c r="K508" s="7"/>
      <c r="L508" s="13" t="str">
        <f>IF(C508="","",IF(COUNTIFS(Parametry!$C$54:$C$113,E508)=1,INDEX(Parametry!$D$54:$D$113,MATCH(E508,Parametry!$C$54:$C$113,0)),""))</f>
        <v/>
      </c>
      <c r="M508" s="7">
        <f t="shared" si="21"/>
        <v>0</v>
      </c>
      <c r="N508" s="13">
        <f>IF(AND(ISNUMBER(D508),ISNUMBER(Parametry!$G$6)),IF(AND(YEAR(D508)=Parametry!$G$6,M508&lt;=Parametry!$G$7),1,0),0)</f>
        <v>0</v>
      </c>
      <c r="O508" s="13">
        <f>IF(C508="",IF(COUNTA(D508:J508)&gt;0,1,0),IF(OR(COUNTIFS($C$9:$C$1008,C508)&lt;&gt;1,NOT(ISNUMBER(D508)),NOT(ISNUMBER(I508)),L508="",AND(F508&lt;&gt;"",COUNTIFS(Umowy!$C$9:$C$108,F508,Umowy!$D$9:$D$108,L508)&lt;&gt;1)),1,0))</f>
        <v>0</v>
      </c>
      <c r="P508" s="7" t="str">
        <f t="shared" si="22"/>
        <v/>
      </c>
      <c r="Q508" s="7" t="str">
        <f t="shared" si="23"/>
        <v/>
      </c>
    </row>
    <row r="509" spans="1:17" ht="24" customHeight="1">
      <c r="A509" s="7"/>
      <c r="B509" s="7"/>
      <c r="C509" s="3"/>
      <c r="D509" s="2"/>
      <c r="E509" s="3"/>
      <c r="F509" s="3"/>
      <c r="G509" s="3"/>
      <c r="H509" s="3"/>
      <c r="I509" s="6"/>
      <c r="J509" s="3"/>
      <c r="K509" s="7"/>
      <c r="L509" s="13" t="str">
        <f>IF(C509="","",IF(COUNTIFS(Parametry!$C$54:$C$113,E509)=1,INDEX(Parametry!$D$54:$D$113,MATCH(E509,Parametry!$C$54:$C$113,0)),""))</f>
        <v/>
      </c>
      <c r="M509" s="7">
        <f t="shared" si="21"/>
        <v>0</v>
      </c>
      <c r="N509" s="13">
        <f>IF(AND(ISNUMBER(D509),ISNUMBER(Parametry!$G$6)),IF(AND(YEAR(D509)=Parametry!$G$6,M509&lt;=Parametry!$G$7),1,0),0)</f>
        <v>0</v>
      </c>
      <c r="O509" s="13">
        <f>IF(C509="",IF(COUNTA(D509:J509)&gt;0,1,0),IF(OR(COUNTIFS($C$9:$C$1008,C509)&lt;&gt;1,NOT(ISNUMBER(D509)),NOT(ISNUMBER(I509)),L509="",AND(F509&lt;&gt;"",COUNTIFS(Umowy!$C$9:$C$108,F509,Umowy!$D$9:$D$108,L509)&lt;&gt;1)),1,0))</f>
        <v>0</v>
      </c>
      <c r="P509" s="7" t="str">
        <f t="shared" si="22"/>
        <v/>
      </c>
      <c r="Q509" s="7" t="str">
        <f t="shared" si="23"/>
        <v/>
      </c>
    </row>
    <row r="510" spans="1:17" ht="24" customHeight="1">
      <c r="A510" s="7"/>
      <c r="B510" s="7"/>
      <c r="C510" s="3"/>
      <c r="D510" s="2"/>
      <c r="E510" s="3"/>
      <c r="F510" s="3"/>
      <c r="G510" s="3"/>
      <c r="H510" s="3"/>
      <c r="I510" s="6"/>
      <c r="J510" s="3"/>
      <c r="K510" s="7"/>
      <c r="L510" s="13" t="str">
        <f>IF(C510="","",IF(COUNTIFS(Parametry!$C$54:$C$113,E510)=1,INDEX(Parametry!$D$54:$D$113,MATCH(E510,Parametry!$C$54:$C$113,0)),""))</f>
        <v/>
      </c>
      <c r="M510" s="7">
        <f t="shared" si="21"/>
        <v>0</v>
      </c>
      <c r="N510" s="13">
        <f>IF(AND(ISNUMBER(D510),ISNUMBER(Parametry!$G$6)),IF(AND(YEAR(D510)=Parametry!$G$6,M510&lt;=Parametry!$G$7),1,0),0)</f>
        <v>0</v>
      </c>
      <c r="O510" s="13">
        <f>IF(C510="",IF(COUNTA(D510:J510)&gt;0,1,0),IF(OR(COUNTIFS($C$9:$C$1008,C510)&lt;&gt;1,NOT(ISNUMBER(D510)),NOT(ISNUMBER(I510)),L510="",AND(F510&lt;&gt;"",COUNTIFS(Umowy!$C$9:$C$108,F510,Umowy!$D$9:$D$108,L510)&lt;&gt;1)),1,0))</f>
        <v>0</v>
      </c>
      <c r="P510" s="7" t="str">
        <f t="shared" si="22"/>
        <v/>
      </c>
      <c r="Q510" s="7" t="str">
        <f t="shared" si="23"/>
        <v/>
      </c>
    </row>
    <row r="511" spans="1:17" ht="24" customHeight="1">
      <c r="A511" s="7"/>
      <c r="B511" s="7"/>
      <c r="C511" s="3"/>
      <c r="D511" s="2"/>
      <c r="E511" s="3"/>
      <c r="F511" s="3"/>
      <c r="G511" s="3"/>
      <c r="H511" s="3"/>
      <c r="I511" s="6"/>
      <c r="J511" s="3"/>
      <c r="K511" s="7"/>
      <c r="L511" s="13" t="str">
        <f>IF(C511="","",IF(COUNTIFS(Parametry!$C$54:$C$113,E511)=1,INDEX(Parametry!$D$54:$D$113,MATCH(E511,Parametry!$C$54:$C$113,0)),""))</f>
        <v/>
      </c>
      <c r="M511" s="7">
        <f t="shared" si="21"/>
        <v>0</v>
      </c>
      <c r="N511" s="13">
        <f>IF(AND(ISNUMBER(D511),ISNUMBER(Parametry!$G$6)),IF(AND(YEAR(D511)=Parametry!$G$6,M511&lt;=Parametry!$G$7),1,0),0)</f>
        <v>0</v>
      </c>
      <c r="O511" s="13">
        <f>IF(C511="",IF(COUNTA(D511:J511)&gt;0,1,0),IF(OR(COUNTIFS($C$9:$C$1008,C511)&lt;&gt;1,NOT(ISNUMBER(D511)),NOT(ISNUMBER(I511)),L511="",AND(F511&lt;&gt;"",COUNTIFS(Umowy!$C$9:$C$108,F511,Umowy!$D$9:$D$108,L511)&lt;&gt;1)),1,0))</f>
        <v>0</v>
      </c>
      <c r="P511" s="7" t="str">
        <f t="shared" si="22"/>
        <v/>
      </c>
      <c r="Q511" s="7" t="str">
        <f t="shared" si="23"/>
        <v/>
      </c>
    </row>
    <row r="512" spans="1:17" ht="24" customHeight="1">
      <c r="A512" s="7"/>
      <c r="B512" s="7"/>
      <c r="C512" s="3"/>
      <c r="D512" s="2"/>
      <c r="E512" s="3"/>
      <c r="F512" s="3"/>
      <c r="G512" s="3"/>
      <c r="H512" s="3"/>
      <c r="I512" s="6"/>
      <c r="J512" s="3"/>
      <c r="K512" s="7"/>
      <c r="L512" s="13" t="str">
        <f>IF(C512="","",IF(COUNTIFS(Parametry!$C$54:$C$113,E512)=1,INDEX(Parametry!$D$54:$D$113,MATCH(E512,Parametry!$C$54:$C$113,0)),""))</f>
        <v/>
      </c>
      <c r="M512" s="7">
        <f t="shared" si="21"/>
        <v>0</v>
      </c>
      <c r="N512" s="13">
        <f>IF(AND(ISNUMBER(D512),ISNUMBER(Parametry!$G$6)),IF(AND(YEAR(D512)=Parametry!$G$6,M512&lt;=Parametry!$G$7),1,0),0)</f>
        <v>0</v>
      </c>
      <c r="O512" s="13">
        <f>IF(C512="",IF(COUNTA(D512:J512)&gt;0,1,0),IF(OR(COUNTIFS($C$9:$C$1008,C512)&lt;&gt;1,NOT(ISNUMBER(D512)),NOT(ISNUMBER(I512)),L512="",AND(F512&lt;&gt;"",COUNTIFS(Umowy!$C$9:$C$108,F512,Umowy!$D$9:$D$108,L512)&lt;&gt;1)),1,0))</f>
        <v>0</v>
      </c>
      <c r="P512" s="7" t="str">
        <f t="shared" si="22"/>
        <v/>
      </c>
      <c r="Q512" s="7" t="str">
        <f t="shared" si="23"/>
        <v/>
      </c>
    </row>
    <row r="513" spans="1:17" ht="24" customHeight="1">
      <c r="A513" s="7"/>
      <c r="B513" s="7"/>
      <c r="C513" s="3"/>
      <c r="D513" s="2"/>
      <c r="E513" s="3"/>
      <c r="F513" s="3"/>
      <c r="G513" s="3"/>
      <c r="H513" s="3"/>
      <c r="I513" s="6"/>
      <c r="J513" s="3"/>
      <c r="K513" s="7"/>
      <c r="L513" s="13" t="str">
        <f>IF(C513="","",IF(COUNTIFS(Parametry!$C$54:$C$113,E513)=1,INDEX(Parametry!$D$54:$D$113,MATCH(E513,Parametry!$C$54:$C$113,0)),""))</f>
        <v/>
      </c>
      <c r="M513" s="7">
        <f t="shared" si="21"/>
        <v>0</v>
      </c>
      <c r="N513" s="13">
        <f>IF(AND(ISNUMBER(D513),ISNUMBER(Parametry!$G$6)),IF(AND(YEAR(D513)=Parametry!$G$6,M513&lt;=Parametry!$G$7),1,0),0)</f>
        <v>0</v>
      </c>
      <c r="O513" s="13">
        <f>IF(C513="",IF(COUNTA(D513:J513)&gt;0,1,0),IF(OR(COUNTIFS($C$9:$C$1008,C513)&lt;&gt;1,NOT(ISNUMBER(D513)),NOT(ISNUMBER(I513)),L513="",AND(F513&lt;&gt;"",COUNTIFS(Umowy!$C$9:$C$108,F513,Umowy!$D$9:$D$108,L513)&lt;&gt;1)),1,0))</f>
        <v>0</v>
      </c>
      <c r="P513" s="7" t="str">
        <f t="shared" si="22"/>
        <v/>
      </c>
      <c r="Q513" s="7" t="str">
        <f t="shared" si="23"/>
        <v/>
      </c>
    </row>
    <row r="514" spans="1:17" ht="24" customHeight="1">
      <c r="A514" s="7"/>
      <c r="B514" s="7"/>
      <c r="C514" s="3"/>
      <c r="D514" s="2"/>
      <c r="E514" s="3"/>
      <c r="F514" s="3"/>
      <c r="G514" s="3"/>
      <c r="H514" s="3"/>
      <c r="I514" s="6"/>
      <c r="J514" s="3"/>
      <c r="K514" s="7"/>
      <c r="L514" s="13" t="str">
        <f>IF(C514="","",IF(COUNTIFS(Parametry!$C$54:$C$113,E514)=1,INDEX(Parametry!$D$54:$D$113,MATCH(E514,Parametry!$C$54:$C$113,0)),""))</f>
        <v/>
      </c>
      <c r="M514" s="7">
        <f t="shared" si="21"/>
        <v>0</v>
      </c>
      <c r="N514" s="13">
        <f>IF(AND(ISNUMBER(D514),ISNUMBER(Parametry!$G$6)),IF(AND(YEAR(D514)=Parametry!$G$6,M514&lt;=Parametry!$G$7),1,0),0)</f>
        <v>0</v>
      </c>
      <c r="O514" s="13">
        <f>IF(C514="",IF(COUNTA(D514:J514)&gt;0,1,0),IF(OR(COUNTIFS($C$9:$C$1008,C514)&lt;&gt;1,NOT(ISNUMBER(D514)),NOT(ISNUMBER(I514)),L514="",AND(F514&lt;&gt;"",COUNTIFS(Umowy!$C$9:$C$108,F514,Umowy!$D$9:$D$108,L514)&lt;&gt;1)),1,0))</f>
        <v>0</v>
      </c>
      <c r="P514" s="7" t="str">
        <f t="shared" si="22"/>
        <v/>
      </c>
      <c r="Q514" s="7" t="str">
        <f t="shared" si="23"/>
        <v/>
      </c>
    </row>
    <row r="515" spans="1:17" ht="24" customHeight="1">
      <c r="A515" s="7"/>
      <c r="B515" s="7"/>
      <c r="C515" s="3"/>
      <c r="D515" s="2"/>
      <c r="E515" s="3"/>
      <c r="F515" s="3"/>
      <c r="G515" s="3"/>
      <c r="H515" s="3"/>
      <c r="I515" s="6"/>
      <c r="J515" s="3"/>
      <c r="K515" s="7"/>
      <c r="L515" s="13" t="str">
        <f>IF(C515="","",IF(COUNTIFS(Parametry!$C$54:$C$113,E515)=1,INDEX(Parametry!$D$54:$D$113,MATCH(E515,Parametry!$C$54:$C$113,0)),""))</f>
        <v/>
      </c>
      <c r="M515" s="7">
        <f t="shared" si="21"/>
        <v>0</v>
      </c>
      <c r="N515" s="13">
        <f>IF(AND(ISNUMBER(D515),ISNUMBER(Parametry!$G$6)),IF(AND(YEAR(D515)=Parametry!$G$6,M515&lt;=Parametry!$G$7),1,0),0)</f>
        <v>0</v>
      </c>
      <c r="O515" s="13">
        <f>IF(C515="",IF(COUNTA(D515:J515)&gt;0,1,0),IF(OR(COUNTIFS($C$9:$C$1008,C515)&lt;&gt;1,NOT(ISNUMBER(D515)),NOT(ISNUMBER(I515)),L515="",AND(F515&lt;&gt;"",COUNTIFS(Umowy!$C$9:$C$108,F515,Umowy!$D$9:$D$108,L515)&lt;&gt;1)),1,0))</f>
        <v>0</v>
      </c>
      <c r="P515" s="7" t="str">
        <f t="shared" si="22"/>
        <v/>
      </c>
      <c r="Q515" s="7" t="str">
        <f t="shared" si="23"/>
        <v/>
      </c>
    </row>
    <row r="516" spans="1:17" ht="24" customHeight="1">
      <c r="A516" s="7"/>
      <c r="B516" s="7"/>
      <c r="C516" s="3"/>
      <c r="D516" s="2"/>
      <c r="E516" s="3"/>
      <c r="F516" s="3"/>
      <c r="G516" s="3"/>
      <c r="H516" s="3"/>
      <c r="I516" s="6"/>
      <c r="J516" s="3"/>
      <c r="K516" s="7"/>
      <c r="L516" s="13" t="str">
        <f>IF(C516="","",IF(COUNTIFS(Parametry!$C$54:$C$113,E516)=1,INDEX(Parametry!$D$54:$D$113,MATCH(E516,Parametry!$C$54:$C$113,0)),""))</f>
        <v/>
      </c>
      <c r="M516" s="7">
        <f t="shared" si="21"/>
        <v>0</v>
      </c>
      <c r="N516" s="13">
        <f>IF(AND(ISNUMBER(D516),ISNUMBER(Parametry!$G$6)),IF(AND(YEAR(D516)=Parametry!$G$6,M516&lt;=Parametry!$G$7),1,0),0)</f>
        <v>0</v>
      </c>
      <c r="O516" s="13">
        <f>IF(C516="",IF(COUNTA(D516:J516)&gt;0,1,0),IF(OR(COUNTIFS($C$9:$C$1008,C516)&lt;&gt;1,NOT(ISNUMBER(D516)),NOT(ISNUMBER(I516)),L516="",AND(F516&lt;&gt;"",COUNTIFS(Umowy!$C$9:$C$108,F516,Umowy!$D$9:$D$108,L516)&lt;&gt;1)),1,0))</f>
        <v>0</v>
      </c>
      <c r="P516" s="7" t="str">
        <f t="shared" si="22"/>
        <v/>
      </c>
      <c r="Q516" s="7" t="str">
        <f t="shared" si="23"/>
        <v/>
      </c>
    </row>
    <row r="517" spans="1:17" ht="24" customHeight="1">
      <c r="A517" s="7"/>
      <c r="B517" s="7"/>
      <c r="C517" s="3"/>
      <c r="D517" s="2"/>
      <c r="E517" s="3"/>
      <c r="F517" s="3"/>
      <c r="G517" s="3"/>
      <c r="H517" s="3"/>
      <c r="I517" s="6"/>
      <c r="J517" s="3"/>
      <c r="K517" s="7"/>
      <c r="L517" s="13" t="str">
        <f>IF(C517="","",IF(COUNTIFS(Parametry!$C$54:$C$113,E517)=1,INDEX(Parametry!$D$54:$D$113,MATCH(E517,Parametry!$C$54:$C$113,0)),""))</f>
        <v/>
      </c>
      <c r="M517" s="7">
        <f t="shared" si="21"/>
        <v>0</v>
      </c>
      <c r="N517" s="13">
        <f>IF(AND(ISNUMBER(D517),ISNUMBER(Parametry!$G$6)),IF(AND(YEAR(D517)=Parametry!$G$6,M517&lt;=Parametry!$G$7),1,0),0)</f>
        <v>0</v>
      </c>
      <c r="O517" s="13">
        <f>IF(C517="",IF(COUNTA(D517:J517)&gt;0,1,0),IF(OR(COUNTIFS($C$9:$C$1008,C517)&lt;&gt;1,NOT(ISNUMBER(D517)),NOT(ISNUMBER(I517)),L517="",AND(F517&lt;&gt;"",COUNTIFS(Umowy!$C$9:$C$108,F517,Umowy!$D$9:$D$108,L517)&lt;&gt;1)),1,0))</f>
        <v>0</v>
      </c>
      <c r="P517" s="7" t="str">
        <f t="shared" si="22"/>
        <v/>
      </c>
      <c r="Q517" s="7" t="str">
        <f t="shared" si="23"/>
        <v/>
      </c>
    </row>
    <row r="518" spans="1:17" ht="24" customHeight="1">
      <c r="A518" s="7"/>
      <c r="B518" s="7"/>
      <c r="C518" s="3"/>
      <c r="D518" s="2"/>
      <c r="E518" s="3"/>
      <c r="F518" s="3"/>
      <c r="G518" s="3"/>
      <c r="H518" s="3"/>
      <c r="I518" s="6"/>
      <c r="J518" s="3"/>
      <c r="K518" s="7"/>
      <c r="L518" s="13" t="str">
        <f>IF(C518="","",IF(COUNTIFS(Parametry!$C$54:$C$113,E518)=1,INDEX(Parametry!$D$54:$D$113,MATCH(E518,Parametry!$C$54:$C$113,0)),""))</f>
        <v/>
      </c>
      <c r="M518" s="7">
        <f t="shared" si="21"/>
        <v>0</v>
      </c>
      <c r="N518" s="13">
        <f>IF(AND(ISNUMBER(D518),ISNUMBER(Parametry!$G$6)),IF(AND(YEAR(D518)=Parametry!$G$6,M518&lt;=Parametry!$G$7),1,0),0)</f>
        <v>0</v>
      </c>
      <c r="O518" s="13">
        <f>IF(C518="",IF(COUNTA(D518:J518)&gt;0,1,0),IF(OR(COUNTIFS($C$9:$C$1008,C518)&lt;&gt;1,NOT(ISNUMBER(D518)),NOT(ISNUMBER(I518)),L518="",AND(F518&lt;&gt;"",COUNTIFS(Umowy!$C$9:$C$108,F518,Umowy!$D$9:$D$108,L518)&lt;&gt;1)),1,0))</f>
        <v>0</v>
      </c>
      <c r="P518" s="7" t="str">
        <f t="shared" si="22"/>
        <v/>
      </c>
      <c r="Q518" s="7" t="str">
        <f t="shared" si="23"/>
        <v/>
      </c>
    </row>
    <row r="519" spans="1:17" ht="24" customHeight="1">
      <c r="A519" s="7"/>
      <c r="B519" s="7"/>
      <c r="C519" s="3"/>
      <c r="D519" s="2"/>
      <c r="E519" s="3"/>
      <c r="F519" s="3"/>
      <c r="G519" s="3"/>
      <c r="H519" s="3"/>
      <c r="I519" s="6"/>
      <c r="J519" s="3"/>
      <c r="K519" s="7"/>
      <c r="L519" s="13" t="str">
        <f>IF(C519="","",IF(COUNTIFS(Parametry!$C$54:$C$113,E519)=1,INDEX(Parametry!$D$54:$D$113,MATCH(E519,Parametry!$C$54:$C$113,0)),""))</f>
        <v/>
      </c>
      <c r="M519" s="7">
        <f t="shared" si="21"/>
        <v>0</v>
      </c>
      <c r="N519" s="13">
        <f>IF(AND(ISNUMBER(D519),ISNUMBER(Parametry!$G$6)),IF(AND(YEAR(D519)=Parametry!$G$6,M519&lt;=Parametry!$G$7),1,0),0)</f>
        <v>0</v>
      </c>
      <c r="O519" s="13">
        <f>IF(C519="",IF(COUNTA(D519:J519)&gt;0,1,0),IF(OR(COUNTIFS($C$9:$C$1008,C519)&lt;&gt;1,NOT(ISNUMBER(D519)),NOT(ISNUMBER(I519)),L519="",AND(F519&lt;&gt;"",COUNTIFS(Umowy!$C$9:$C$108,F519,Umowy!$D$9:$D$108,L519)&lt;&gt;1)),1,0))</f>
        <v>0</v>
      </c>
      <c r="P519" s="7" t="str">
        <f t="shared" si="22"/>
        <v/>
      </c>
      <c r="Q519" s="7" t="str">
        <f t="shared" si="23"/>
        <v/>
      </c>
    </row>
    <row r="520" spans="1:17" ht="24" customHeight="1">
      <c r="A520" s="7"/>
      <c r="B520" s="7"/>
      <c r="C520" s="3"/>
      <c r="D520" s="2"/>
      <c r="E520" s="3"/>
      <c r="F520" s="3"/>
      <c r="G520" s="3"/>
      <c r="H520" s="3"/>
      <c r="I520" s="6"/>
      <c r="J520" s="3"/>
      <c r="K520" s="7"/>
      <c r="L520" s="13" t="str">
        <f>IF(C520="","",IF(COUNTIFS(Parametry!$C$54:$C$113,E520)=1,INDEX(Parametry!$D$54:$D$113,MATCH(E520,Parametry!$C$54:$C$113,0)),""))</f>
        <v/>
      </c>
      <c r="M520" s="7">
        <f t="shared" si="21"/>
        <v>0</v>
      </c>
      <c r="N520" s="13">
        <f>IF(AND(ISNUMBER(D520),ISNUMBER(Parametry!$G$6)),IF(AND(YEAR(D520)=Parametry!$G$6,M520&lt;=Parametry!$G$7),1,0),0)</f>
        <v>0</v>
      </c>
      <c r="O520" s="13">
        <f>IF(C520="",IF(COUNTA(D520:J520)&gt;0,1,0),IF(OR(COUNTIFS($C$9:$C$1008,C520)&lt;&gt;1,NOT(ISNUMBER(D520)),NOT(ISNUMBER(I520)),L520="",AND(F520&lt;&gt;"",COUNTIFS(Umowy!$C$9:$C$108,F520,Umowy!$D$9:$D$108,L520)&lt;&gt;1)),1,0))</f>
        <v>0</v>
      </c>
      <c r="P520" s="7" t="str">
        <f t="shared" si="22"/>
        <v/>
      </c>
      <c r="Q520" s="7" t="str">
        <f t="shared" si="23"/>
        <v/>
      </c>
    </row>
    <row r="521" spans="1:17" ht="24" customHeight="1">
      <c r="A521" s="7"/>
      <c r="B521" s="7"/>
      <c r="C521" s="3"/>
      <c r="D521" s="2"/>
      <c r="E521" s="3"/>
      <c r="F521" s="3"/>
      <c r="G521" s="3"/>
      <c r="H521" s="3"/>
      <c r="I521" s="6"/>
      <c r="J521" s="3"/>
      <c r="K521" s="7"/>
      <c r="L521" s="13" t="str">
        <f>IF(C521="","",IF(COUNTIFS(Parametry!$C$54:$C$113,E521)=1,INDEX(Parametry!$D$54:$D$113,MATCH(E521,Parametry!$C$54:$C$113,0)),""))</f>
        <v/>
      </c>
      <c r="M521" s="7">
        <f t="shared" ref="M521:M584" si="24">IF(ISNUMBER(D521),MONTH(D521),0)</f>
        <v>0</v>
      </c>
      <c r="N521" s="13">
        <f>IF(AND(ISNUMBER(D521),ISNUMBER(Parametry!$G$6)),IF(AND(YEAR(D521)=Parametry!$G$6,M521&lt;=Parametry!$G$7),1,0),0)</f>
        <v>0</v>
      </c>
      <c r="O521" s="13">
        <f>IF(C521="",IF(COUNTA(D521:J521)&gt;0,1,0),IF(OR(COUNTIFS($C$9:$C$1008,C521)&lt;&gt;1,NOT(ISNUMBER(D521)),NOT(ISNUMBER(I521)),L521="",AND(F521&lt;&gt;"",COUNTIFS(Umowy!$C$9:$C$108,F521,Umowy!$D$9:$D$108,L521)&lt;&gt;1)),1,0))</f>
        <v>0</v>
      </c>
      <c r="P521" s="7" t="str">
        <f t="shared" ref="P521:P584" si="25">IF(O521=0,"",IF(C521="","Missing RowID",IF(COUNTIFS($C$9:$C$1008,C521)&lt;&gt;1,"Duplicate RowID",IF(L521="","Unmapped ERPKey",IF(NOT(ISNUMBER(D521)),"Invalid Date",IF(NOT(ISNUMBER(I521)),"Invalid AmountPLN","CommitmentID / BudgetID"))))))</f>
        <v/>
      </c>
      <c r="Q521" s="7" t="str">
        <f t="shared" ref="Q521:Q584" si="26">IF(C521="","",IF(N521=1,"","Nie ujęto w wykonaniu okresu"))</f>
        <v/>
      </c>
    </row>
    <row r="522" spans="1:17" ht="24" customHeight="1">
      <c r="A522" s="7"/>
      <c r="B522" s="7"/>
      <c r="C522" s="3"/>
      <c r="D522" s="2"/>
      <c r="E522" s="3"/>
      <c r="F522" s="3"/>
      <c r="G522" s="3"/>
      <c r="H522" s="3"/>
      <c r="I522" s="6"/>
      <c r="J522" s="3"/>
      <c r="K522" s="7"/>
      <c r="L522" s="13" t="str">
        <f>IF(C522="","",IF(COUNTIFS(Parametry!$C$54:$C$113,E522)=1,INDEX(Parametry!$D$54:$D$113,MATCH(E522,Parametry!$C$54:$C$113,0)),""))</f>
        <v/>
      </c>
      <c r="M522" s="7">
        <f t="shared" si="24"/>
        <v>0</v>
      </c>
      <c r="N522" s="13">
        <f>IF(AND(ISNUMBER(D522),ISNUMBER(Parametry!$G$6)),IF(AND(YEAR(D522)=Parametry!$G$6,M522&lt;=Parametry!$G$7),1,0),0)</f>
        <v>0</v>
      </c>
      <c r="O522" s="13">
        <f>IF(C522="",IF(COUNTA(D522:J522)&gt;0,1,0),IF(OR(COUNTIFS($C$9:$C$1008,C522)&lt;&gt;1,NOT(ISNUMBER(D522)),NOT(ISNUMBER(I522)),L522="",AND(F522&lt;&gt;"",COUNTIFS(Umowy!$C$9:$C$108,F522,Umowy!$D$9:$D$108,L522)&lt;&gt;1)),1,0))</f>
        <v>0</v>
      </c>
      <c r="P522" s="7" t="str">
        <f t="shared" si="25"/>
        <v/>
      </c>
      <c r="Q522" s="7" t="str">
        <f t="shared" si="26"/>
        <v/>
      </c>
    </row>
    <row r="523" spans="1:17" ht="24" customHeight="1">
      <c r="A523" s="7"/>
      <c r="B523" s="7"/>
      <c r="C523" s="3"/>
      <c r="D523" s="2"/>
      <c r="E523" s="3"/>
      <c r="F523" s="3"/>
      <c r="G523" s="3"/>
      <c r="H523" s="3"/>
      <c r="I523" s="6"/>
      <c r="J523" s="3"/>
      <c r="K523" s="7"/>
      <c r="L523" s="13" t="str">
        <f>IF(C523="","",IF(COUNTIFS(Parametry!$C$54:$C$113,E523)=1,INDEX(Parametry!$D$54:$D$113,MATCH(E523,Parametry!$C$54:$C$113,0)),""))</f>
        <v/>
      </c>
      <c r="M523" s="7">
        <f t="shared" si="24"/>
        <v>0</v>
      </c>
      <c r="N523" s="13">
        <f>IF(AND(ISNUMBER(D523),ISNUMBER(Parametry!$G$6)),IF(AND(YEAR(D523)=Parametry!$G$6,M523&lt;=Parametry!$G$7),1,0),0)</f>
        <v>0</v>
      </c>
      <c r="O523" s="13">
        <f>IF(C523="",IF(COUNTA(D523:J523)&gt;0,1,0),IF(OR(COUNTIFS($C$9:$C$1008,C523)&lt;&gt;1,NOT(ISNUMBER(D523)),NOT(ISNUMBER(I523)),L523="",AND(F523&lt;&gt;"",COUNTIFS(Umowy!$C$9:$C$108,F523,Umowy!$D$9:$D$108,L523)&lt;&gt;1)),1,0))</f>
        <v>0</v>
      </c>
      <c r="P523" s="7" t="str">
        <f t="shared" si="25"/>
        <v/>
      </c>
      <c r="Q523" s="7" t="str">
        <f t="shared" si="26"/>
        <v/>
      </c>
    </row>
    <row r="524" spans="1:17" ht="24" customHeight="1">
      <c r="A524" s="7"/>
      <c r="B524" s="7"/>
      <c r="C524" s="3"/>
      <c r="D524" s="2"/>
      <c r="E524" s="3"/>
      <c r="F524" s="3"/>
      <c r="G524" s="3"/>
      <c r="H524" s="3"/>
      <c r="I524" s="6"/>
      <c r="J524" s="3"/>
      <c r="K524" s="7"/>
      <c r="L524" s="13" t="str">
        <f>IF(C524="","",IF(COUNTIFS(Parametry!$C$54:$C$113,E524)=1,INDEX(Parametry!$D$54:$D$113,MATCH(E524,Parametry!$C$54:$C$113,0)),""))</f>
        <v/>
      </c>
      <c r="M524" s="7">
        <f t="shared" si="24"/>
        <v>0</v>
      </c>
      <c r="N524" s="13">
        <f>IF(AND(ISNUMBER(D524),ISNUMBER(Parametry!$G$6)),IF(AND(YEAR(D524)=Parametry!$G$6,M524&lt;=Parametry!$G$7),1,0),0)</f>
        <v>0</v>
      </c>
      <c r="O524" s="13">
        <f>IF(C524="",IF(COUNTA(D524:J524)&gt;0,1,0),IF(OR(COUNTIFS($C$9:$C$1008,C524)&lt;&gt;1,NOT(ISNUMBER(D524)),NOT(ISNUMBER(I524)),L524="",AND(F524&lt;&gt;"",COUNTIFS(Umowy!$C$9:$C$108,F524,Umowy!$D$9:$D$108,L524)&lt;&gt;1)),1,0))</f>
        <v>0</v>
      </c>
      <c r="P524" s="7" t="str">
        <f t="shared" si="25"/>
        <v/>
      </c>
      <c r="Q524" s="7" t="str">
        <f t="shared" si="26"/>
        <v/>
      </c>
    </row>
    <row r="525" spans="1:17" ht="24" customHeight="1">
      <c r="A525" s="7"/>
      <c r="B525" s="7"/>
      <c r="C525" s="3"/>
      <c r="D525" s="2"/>
      <c r="E525" s="3"/>
      <c r="F525" s="3"/>
      <c r="G525" s="3"/>
      <c r="H525" s="3"/>
      <c r="I525" s="6"/>
      <c r="J525" s="3"/>
      <c r="K525" s="7"/>
      <c r="L525" s="13" t="str">
        <f>IF(C525="","",IF(COUNTIFS(Parametry!$C$54:$C$113,E525)=1,INDEX(Parametry!$D$54:$D$113,MATCH(E525,Parametry!$C$54:$C$113,0)),""))</f>
        <v/>
      </c>
      <c r="M525" s="7">
        <f t="shared" si="24"/>
        <v>0</v>
      </c>
      <c r="N525" s="13">
        <f>IF(AND(ISNUMBER(D525),ISNUMBER(Parametry!$G$6)),IF(AND(YEAR(D525)=Parametry!$G$6,M525&lt;=Parametry!$G$7),1,0),0)</f>
        <v>0</v>
      </c>
      <c r="O525" s="13">
        <f>IF(C525="",IF(COUNTA(D525:J525)&gt;0,1,0),IF(OR(COUNTIFS($C$9:$C$1008,C525)&lt;&gt;1,NOT(ISNUMBER(D525)),NOT(ISNUMBER(I525)),L525="",AND(F525&lt;&gt;"",COUNTIFS(Umowy!$C$9:$C$108,F525,Umowy!$D$9:$D$108,L525)&lt;&gt;1)),1,0))</f>
        <v>0</v>
      </c>
      <c r="P525" s="7" t="str">
        <f t="shared" si="25"/>
        <v/>
      </c>
      <c r="Q525" s="7" t="str">
        <f t="shared" si="26"/>
        <v/>
      </c>
    </row>
    <row r="526" spans="1:17" ht="24" customHeight="1">
      <c r="A526" s="7"/>
      <c r="B526" s="7"/>
      <c r="C526" s="3"/>
      <c r="D526" s="2"/>
      <c r="E526" s="3"/>
      <c r="F526" s="3"/>
      <c r="G526" s="3"/>
      <c r="H526" s="3"/>
      <c r="I526" s="6"/>
      <c r="J526" s="3"/>
      <c r="K526" s="7"/>
      <c r="L526" s="13" t="str">
        <f>IF(C526="","",IF(COUNTIFS(Parametry!$C$54:$C$113,E526)=1,INDEX(Parametry!$D$54:$D$113,MATCH(E526,Parametry!$C$54:$C$113,0)),""))</f>
        <v/>
      </c>
      <c r="M526" s="7">
        <f t="shared" si="24"/>
        <v>0</v>
      </c>
      <c r="N526" s="13">
        <f>IF(AND(ISNUMBER(D526),ISNUMBER(Parametry!$G$6)),IF(AND(YEAR(D526)=Parametry!$G$6,M526&lt;=Parametry!$G$7),1,0),0)</f>
        <v>0</v>
      </c>
      <c r="O526" s="13">
        <f>IF(C526="",IF(COUNTA(D526:J526)&gt;0,1,0),IF(OR(COUNTIFS($C$9:$C$1008,C526)&lt;&gt;1,NOT(ISNUMBER(D526)),NOT(ISNUMBER(I526)),L526="",AND(F526&lt;&gt;"",COUNTIFS(Umowy!$C$9:$C$108,F526,Umowy!$D$9:$D$108,L526)&lt;&gt;1)),1,0))</f>
        <v>0</v>
      </c>
      <c r="P526" s="7" t="str">
        <f t="shared" si="25"/>
        <v/>
      </c>
      <c r="Q526" s="7" t="str">
        <f t="shared" si="26"/>
        <v/>
      </c>
    </row>
    <row r="527" spans="1:17" ht="24" customHeight="1">
      <c r="A527" s="7"/>
      <c r="B527" s="7"/>
      <c r="C527" s="3"/>
      <c r="D527" s="2"/>
      <c r="E527" s="3"/>
      <c r="F527" s="3"/>
      <c r="G527" s="3"/>
      <c r="H527" s="3"/>
      <c r="I527" s="6"/>
      <c r="J527" s="3"/>
      <c r="K527" s="7"/>
      <c r="L527" s="13" t="str">
        <f>IF(C527="","",IF(COUNTIFS(Parametry!$C$54:$C$113,E527)=1,INDEX(Parametry!$D$54:$D$113,MATCH(E527,Parametry!$C$54:$C$113,0)),""))</f>
        <v/>
      </c>
      <c r="M527" s="7">
        <f t="shared" si="24"/>
        <v>0</v>
      </c>
      <c r="N527" s="13">
        <f>IF(AND(ISNUMBER(D527),ISNUMBER(Parametry!$G$6)),IF(AND(YEAR(D527)=Parametry!$G$6,M527&lt;=Parametry!$G$7),1,0),0)</f>
        <v>0</v>
      </c>
      <c r="O527" s="13">
        <f>IF(C527="",IF(COUNTA(D527:J527)&gt;0,1,0),IF(OR(COUNTIFS($C$9:$C$1008,C527)&lt;&gt;1,NOT(ISNUMBER(D527)),NOT(ISNUMBER(I527)),L527="",AND(F527&lt;&gt;"",COUNTIFS(Umowy!$C$9:$C$108,F527,Umowy!$D$9:$D$108,L527)&lt;&gt;1)),1,0))</f>
        <v>0</v>
      </c>
      <c r="P527" s="7" t="str">
        <f t="shared" si="25"/>
        <v/>
      </c>
      <c r="Q527" s="7" t="str">
        <f t="shared" si="26"/>
        <v/>
      </c>
    </row>
    <row r="528" spans="1:17" ht="24" customHeight="1">
      <c r="A528" s="7"/>
      <c r="B528" s="7"/>
      <c r="C528" s="3"/>
      <c r="D528" s="2"/>
      <c r="E528" s="3"/>
      <c r="F528" s="3"/>
      <c r="G528" s="3"/>
      <c r="H528" s="3"/>
      <c r="I528" s="6"/>
      <c r="J528" s="3"/>
      <c r="K528" s="7"/>
      <c r="L528" s="13" t="str">
        <f>IF(C528="","",IF(COUNTIFS(Parametry!$C$54:$C$113,E528)=1,INDEX(Parametry!$D$54:$D$113,MATCH(E528,Parametry!$C$54:$C$113,0)),""))</f>
        <v/>
      </c>
      <c r="M528" s="7">
        <f t="shared" si="24"/>
        <v>0</v>
      </c>
      <c r="N528" s="13">
        <f>IF(AND(ISNUMBER(D528),ISNUMBER(Parametry!$G$6)),IF(AND(YEAR(D528)=Parametry!$G$6,M528&lt;=Parametry!$G$7),1,0),0)</f>
        <v>0</v>
      </c>
      <c r="O528" s="13">
        <f>IF(C528="",IF(COUNTA(D528:J528)&gt;0,1,0),IF(OR(COUNTIFS($C$9:$C$1008,C528)&lt;&gt;1,NOT(ISNUMBER(D528)),NOT(ISNUMBER(I528)),L528="",AND(F528&lt;&gt;"",COUNTIFS(Umowy!$C$9:$C$108,F528,Umowy!$D$9:$D$108,L528)&lt;&gt;1)),1,0))</f>
        <v>0</v>
      </c>
      <c r="P528" s="7" t="str">
        <f t="shared" si="25"/>
        <v/>
      </c>
      <c r="Q528" s="7" t="str">
        <f t="shared" si="26"/>
        <v/>
      </c>
    </row>
    <row r="529" spans="1:17" ht="24" customHeight="1">
      <c r="A529" s="7"/>
      <c r="B529" s="7"/>
      <c r="C529" s="3"/>
      <c r="D529" s="2"/>
      <c r="E529" s="3"/>
      <c r="F529" s="3"/>
      <c r="G529" s="3"/>
      <c r="H529" s="3"/>
      <c r="I529" s="6"/>
      <c r="J529" s="3"/>
      <c r="K529" s="7"/>
      <c r="L529" s="13" t="str">
        <f>IF(C529="","",IF(COUNTIFS(Parametry!$C$54:$C$113,E529)=1,INDEX(Parametry!$D$54:$D$113,MATCH(E529,Parametry!$C$54:$C$113,0)),""))</f>
        <v/>
      </c>
      <c r="M529" s="7">
        <f t="shared" si="24"/>
        <v>0</v>
      </c>
      <c r="N529" s="13">
        <f>IF(AND(ISNUMBER(D529),ISNUMBER(Parametry!$G$6)),IF(AND(YEAR(D529)=Parametry!$G$6,M529&lt;=Parametry!$G$7),1,0),0)</f>
        <v>0</v>
      </c>
      <c r="O529" s="13">
        <f>IF(C529="",IF(COUNTA(D529:J529)&gt;0,1,0),IF(OR(COUNTIFS($C$9:$C$1008,C529)&lt;&gt;1,NOT(ISNUMBER(D529)),NOT(ISNUMBER(I529)),L529="",AND(F529&lt;&gt;"",COUNTIFS(Umowy!$C$9:$C$108,F529,Umowy!$D$9:$D$108,L529)&lt;&gt;1)),1,0))</f>
        <v>0</v>
      </c>
      <c r="P529" s="7" t="str">
        <f t="shared" si="25"/>
        <v/>
      </c>
      <c r="Q529" s="7" t="str">
        <f t="shared" si="26"/>
        <v/>
      </c>
    </row>
    <row r="530" spans="1:17" ht="24" customHeight="1">
      <c r="A530" s="7"/>
      <c r="B530" s="7"/>
      <c r="C530" s="3"/>
      <c r="D530" s="2"/>
      <c r="E530" s="3"/>
      <c r="F530" s="3"/>
      <c r="G530" s="3"/>
      <c r="H530" s="3"/>
      <c r="I530" s="6"/>
      <c r="J530" s="3"/>
      <c r="K530" s="7"/>
      <c r="L530" s="13" t="str">
        <f>IF(C530="","",IF(COUNTIFS(Parametry!$C$54:$C$113,E530)=1,INDEX(Parametry!$D$54:$D$113,MATCH(E530,Parametry!$C$54:$C$113,0)),""))</f>
        <v/>
      </c>
      <c r="M530" s="7">
        <f t="shared" si="24"/>
        <v>0</v>
      </c>
      <c r="N530" s="13">
        <f>IF(AND(ISNUMBER(D530),ISNUMBER(Parametry!$G$6)),IF(AND(YEAR(D530)=Parametry!$G$6,M530&lt;=Parametry!$G$7),1,0),0)</f>
        <v>0</v>
      </c>
      <c r="O530" s="13">
        <f>IF(C530="",IF(COUNTA(D530:J530)&gt;0,1,0),IF(OR(COUNTIFS($C$9:$C$1008,C530)&lt;&gt;1,NOT(ISNUMBER(D530)),NOT(ISNUMBER(I530)),L530="",AND(F530&lt;&gt;"",COUNTIFS(Umowy!$C$9:$C$108,F530,Umowy!$D$9:$D$108,L530)&lt;&gt;1)),1,0))</f>
        <v>0</v>
      </c>
      <c r="P530" s="7" t="str">
        <f t="shared" si="25"/>
        <v/>
      </c>
      <c r="Q530" s="7" t="str">
        <f t="shared" si="26"/>
        <v/>
      </c>
    </row>
    <row r="531" spans="1:17" ht="24" customHeight="1">
      <c r="A531" s="7"/>
      <c r="B531" s="7"/>
      <c r="C531" s="3"/>
      <c r="D531" s="2"/>
      <c r="E531" s="3"/>
      <c r="F531" s="3"/>
      <c r="G531" s="3"/>
      <c r="H531" s="3"/>
      <c r="I531" s="6"/>
      <c r="J531" s="3"/>
      <c r="K531" s="7"/>
      <c r="L531" s="13" t="str">
        <f>IF(C531="","",IF(COUNTIFS(Parametry!$C$54:$C$113,E531)=1,INDEX(Parametry!$D$54:$D$113,MATCH(E531,Parametry!$C$54:$C$113,0)),""))</f>
        <v/>
      </c>
      <c r="M531" s="7">
        <f t="shared" si="24"/>
        <v>0</v>
      </c>
      <c r="N531" s="13">
        <f>IF(AND(ISNUMBER(D531),ISNUMBER(Parametry!$G$6)),IF(AND(YEAR(D531)=Parametry!$G$6,M531&lt;=Parametry!$G$7),1,0),0)</f>
        <v>0</v>
      </c>
      <c r="O531" s="13">
        <f>IF(C531="",IF(COUNTA(D531:J531)&gt;0,1,0),IF(OR(COUNTIFS($C$9:$C$1008,C531)&lt;&gt;1,NOT(ISNUMBER(D531)),NOT(ISNUMBER(I531)),L531="",AND(F531&lt;&gt;"",COUNTIFS(Umowy!$C$9:$C$108,F531,Umowy!$D$9:$D$108,L531)&lt;&gt;1)),1,0))</f>
        <v>0</v>
      </c>
      <c r="P531" s="7" t="str">
        <f t="shared" si="25"/>
        <v/>
      </c>
      <c r="Q531" s="7" t="str">
        <f t="shared" si="26"/>
        <v/>
      </c>
    </row>
    <row r="532" spans="1:17" ht="24" customHeight="1">
      <c r="A532" s="7"/>
      <c r="B532" s="7"/>
      <c r="C532" s="3"/>
      <c r="D532" s="2"/>
      <c r="E532" s="3"/>
      <c r="F532" s="3"/>
      <c r="G532" s="3"/>
      <c r="H532" s="3"/>
      <c r="I532" s="6"/>
      <c r="J532" s="3"/>
      <c r="K532" s="7"/>
      <c r="L532" s="13" t="str">
        <f>IF(C532="","",IF(COUNTIFS(Parametry!$C$54:$C$113,E532)=1,INDEX(Parametry!$D$54:$D$113,MATCH(E532,Parametry!$C$54:$C$113,0)),""))</f>
        <v/>
      </c>
      <c r="M532" s="7">
        <f t="shared" si="24"/>
        <v>0</v>
      </c>
      <c r="N532" s="13">
        <f>IF(AND(ISNUMBER(D532),ISNUMBER(Parametry!$G$6)),IF(AND(YEAR(D532)=Parametry!$G$6,M532&lt;=Parametry!$G$7),1,0),0)</f>
        <v>0</v>
      </c>
      <c r="O532" s="13">
        <f>IF(C532="",IF(COUNTA(D532:J532)&gt;0,1,0),IF(OR(COUNTIFS($C$9:$C$1008,C532)&lt;&gt;1,NOT(ISNUMBER(D532)),NOT(ISNUMBER(I532)),L532="",AND(F532&lt;&gt;"",COUNTIFS(Umowy!$C$9:$C$108,F532,Umowy!$D$9:$D$108,L532)&lt;&gt;1)),1,0))</f>
        <v>0</v>
      </c>
      <c r="P532" s="7" t="str">
        <f t="shared" si="25"/>
        <v/>
      </c>
      <c r="Q532" s="7" t="str">
        <f t="shared" si="26"/>
        <v/>
      </c>
    </row>
    <row r="533" spans="1:17" ht="24" customHeight="1">
      <c r="A533" s="7"/>
      <c r="B533" s="7"/>
      <c r="C533" s="3"/>
      <c r="D533" s="2"/>
      <c r="E533" s="3"/>
      <c r="F533" s="3"/>
      <c r="G533" s="3"/>
      <c r="H533" s="3"/>
      <c r="I533" s="6"/>
      <c r="J533" s="3"/>
      <c r="K533" s="7"/>
      <c r="L533" s="13" t="str">
        <f>IF(C533="","",IF(COUNTIFS(Parametry!$C$54:$C$113,E533)=1,INDEX(Parametry!$D$54:$D$113,MATCH(E533,Parametry!$C$54:$C$113,0)),""))</f>
        <v/>
      </c>
      <c r="M533" s="7">
        <f t="shared" si="24"/>
        <v>0</v>
      </c>
      <c r="N533" s="13">
        <f>IF(AND(ISNUMBER(D533),ISNUMBER(Parametry!$G$6)),IF(AND(YEAR(D533)=Parametry!$G$6,M533&lt;=Parametry!$G$7),1,0),0)</f>
        <v>0</v>
      </c>
      <c r="O533" s="13">
        <f>IF(C533="",IF(COUNTA(D533:J533)&gt;0,1,0),IF(OR(COUNTIFS($C$9:$C$1008,C533)&lt;&gt;1,NOT(ISNUMBER(D533)),NOT(ISNUMBER(I533)),L533="",AND(F533&lt;&gt;"",COUNTIFS(Umowy!$C$9:$C$108,F533,Umowy!$D$9:$D$108,L533)&lt;&gt;1)),1,0))</f>
        <v>0</v>
      </c>
      <c r="P533" s="7" t="str">
        <f t="shared" si="25"/>
        <v/>
      </c>
      <c r="Q533" s="7" t="str">
        <f t="shared" si="26"/>
        <v/>
      </c>
    </row>
    <row r="534" spans="1:17" ht="24" customHeight="1">
      <c r="A534" s="7"/>
      <c r="B534" s="7"/>
      <c r="C534" s="3"/>
      <c r="D534" s="2"/>
      <c r="E534" s="3"/>
      <c r="F534" s="3"/>
      <c r="G534" s="3"/>
      <c r="H534" s="3"/>
      <c r="I534" s="6"/>
      <c r="J534" s="3"/>
      <c r="K534" s="7"/>
      <c r="L534" s="13" t="str">
        <f>IF(C534="","",IF(COUNTIFS(Parametry!$C$54:$C$113,E534)=1,INDEX(Parametry!$D$54:$D$113,MATCH(E534,Parametry!$C$54:$C$113,0)),""))</f>
        <v/>
      </c>
      <c r="M534" s="7">
        <f t="shared" si="24"/>
        <v>0</v>
      </c>
      <c r="N534" s="13">
        <f>IF(AND(ISNUMBER(D534),ISNUMBER(Parametry!$G$6)),IF(AND(YEAR(D534)=Parametry!$G$6,M534&lt;=Parametry!$G$7),1,0),0)</f>
        <v>0</v>
      </c>
      <c r="O534" s="13">
        <f>IF(C534="",IF(COUNTA(D534:J534)&gt;0,1,0),IF(OR(COUNTIFS($C$9:$C$1008,C534)&lt;&gt;1,NOT(ISNUMBER(D534)),NOT(ISNUMBER(I534)),L534="",AND(F534&lt;&gt;"",COUNTIFS(Umowy!$C$9:$C$108,F534,Umowy!$D$9:$D$108,L534)&lt;&gt;1)),1,0))</f>
        <v>0</v>
      </c>
      <c r="P534" s="7" t="str">
        <f t="shared" si="25"/>
        <v/>
      </c>
      <c r="Q534" s="7" t="str">
        <f t="shared" si="26"/>
        <v/>
      </c>
    </row>
    <row r="535" spans="1:17" ht="24" customHeight="1">
      <c r="A535" s="7"/>
      <c r="B535" s="7"/>
      <c r="C535" s="3"/>
      <c r="D535" s="2"/>
      <c r="E535" s="3"/>
      <c r="F535" s="3"/>
      <c r="G535" s="3"/>
      <c r="H535" s="3"/>
      <c r="I535" s="6"/>
      <c r="J535" s="3"/>
      <c r="K535" s="7"/>
      <c r="L535" s="13" t="str">
        <f>IF(C535="","",IF(COUNTIFS(Parametry!$C$54:$C$113,E535)=1,INDEX(Parametry!$D$54:$D$113,MATCH(E535,Parametry!$C$54:$C$113,0)),""))</f>
        <v/>
      </c>
      <c r="M535" s="7">
        <f t="shared" si="24"/>
        <v>0</v>
      </c>
      <c r="N535" s="13">
        <f>IF(AND(ISNUMBER(D535),ISNUMBER(Parametry!$G$6)),IF(AND(YEAR(D535)=Parametry!$G$6,M535&lt;=Parametry!$G$7),1,0),0)</f>
        <v>0</v>
      </c>
      <c r="O535" s="13">
        <f>IF(C535="",IF(COUNTA(D535:J535)&gt;0,1,0),IF(OR(COUNTIFS($C$9:$C$1008,C535)&lt;&gt;1,NOT(ISNUMBER(D535)),NOT(ISNUMBER(I535)),L535="",AND(F535&lt;&gt;"",COUNTIFS(Umowy!$C$9:$C$108,F535,Umowy!$D$9:$D$108,L535)&lt;&gt;1)),1,0))</f>
        <v>0</v>
      </c>
      <c r="P535" s="7" t="str">
        <f t="shared" si="25"/>
        <v/>
      </c>
      <c r="Q535" s="7" t="str">
        <f t="shared" si="26"/>
        <v/>
      </c>
    </row>
    <row r="536" spans="1:17" ht="24" customHeight="1">
      <c r="A536" s="7"/>
      <c r="B536" s="7"/>
      <c r="C536" s="3"/>
      <c r="D536" s="2"/>
      <c r="E536" s="3"/>
      <c r="F536" s="3"/>
      <c r="G536" s="3"/>
      <c r="H536" s="3"/>
      <c r="I536" s="6"/>
      <c r="J536" s="3"/>
      <c r="K536" s="7"/>
      <c r="L536" s="13" t="str">
        <f>IF(C536="","",IF(COUNTIFS(Parametry!$C$54:$C$113,E536)=1,INDEX(Parametry!$D$54:$D$113,MATCH(E536,Parametry!$C$54:$C$113,0)),""))</f>
        <v/>
      </c>
      <c r="M536" s="7">
        <f t="shared" si="24"/>
        <v>0</v>
      </c>
      <c r="N536" s="13">
        <f>IF(AND(ISNUMBER(D536),ISNUMBER(Parametry!$G$6)),IF(AND(YEAR(D536)=Parametry!$G$6,M536&lt;=Parametry!$G$7),1,0),0)</f>
        <v>0</v>
      </c>
      <c r="O536" s="13">
        <f>IF(C536="",IF(COUNTA(D536:J536)&gt;0,1,0),IF(OR(COUNTIFS($C$9:$C$1008,C536)&lt;&gt;1,NOT(ISNUMBER(D536)),NOT(ISNUMBER(I536)),L536="",AND(F536&lt;&gt;"",COUNTIFS(Umowy!$C$9:$C$108,F536,Umowy!$D$9:$D$108,L536)&lt;&gt;1)),1,0))</f>
        <v>0</v>
      </c>
      <c r="P536" s="7" t="str">
        <f t="shared" si="25"/>
        <v/>
      </c>
      <c r="Q536" s="7" t="str">
        <f t="shared" si="26"/>
        <v/>
      </c>
    </row>
    <row r="537" spans="1:17" ht="24" customHeight="1">
      <c r="A537" s="7"/>
      <c r="B537" s="7"/>
      <c r="C537" s="3"/>
      <c r="D537" s="2"/>
      <c r="E537" s="3"/>
      <c r="F537" s="3"/>
      <c r="G537" s="3"/>
      <c r="H537" s="3"/>
      <c r="I537" s="6"/>
      <c r="J537" s="3"/>
      <c r="K537" s="7"/>
      <c r="L537" s="13" t="str">
        <f>IF(C537="","",IF(COUNTIFS(Parametry!$C$54:$C$113,E537)=1,INDEX(Parametry!$D$54:$D$113,MATCH(E537,Parametry!$C$54:$C$113,0)),""))</f>
        <v/>
      </c>
      <c r="M537" s="7">
        <f t="shared" si="24"/>
        <v>0</v>
      </c>
      <c r="N537" s="13">
        <f>IF(AND(ISNUMBER(D537),ISNUMBER(Parametry!$G$6)),IF(AND(YEAR(D537)=Parametry!$G$6,M537&lt;=Parametry!$G$7),1,0),0)</f>
        <v>0</v>
      </c>
      <c r="O537" s="13">
        <f>IF(C537="",IF(COUNTA(D537:J537)&gt;0,1,0),IF(OR(COUNTIFS($C$9:$C$1008,C537)&lt;&gt;1,NOT(ISNUMBER(D537)),NOT(ISNUMBER(I537)),L537="",AND(F537&lt;&gt;"",COUNTIFS(Umowy!$C$9:$C$108,F537,Umowy!$D$9:$D$108,L537)&lt;&gt;1)),1,0))</f>
        <v>0</v>
      </c>
      <c r="P537" s="7" t="str">
        <f t="shared" si="25"/>
        <v/>
      </c>
      <c r="Q537" s="7" t="str">
        <f t="shared" si="26"/>
        <v/>
      </c>
    </row>
    <row r="538" spans="1:17" ht="24" customHeight="1">
      <c r="A538" s="7"/>
      <c r="B538" s="7"/>
      <c r="C538" s="3"/>
      <c r="D538" s="2"/>
      <c r="E538" s="3"/>
      <c r="F538" s="3"/>
      <c r="G538" s="3"/>
      <c r="H538" s="3"/>
      <c r="I538" s="6"/>
      <c r="J538" s="3"/>
      <c r="K538" s="7"/>
      <c r="L538" s="13" t="str">
        <f>IF(C538="","",IF(COUNTIFS(Parametry!$C$54:$C$113,E538)=1,INDEX(Parametry!$D$54:$D$113,MATCH(E538,Parametry!$C$54:$C$113,0)),""))</f>
        <v/>
      </c>
      <c r="M538" s="7">
        <f t="shared" si="24"/>
        <v>0</v>
      </c>
      <c r="N538" s="13">
        <f>IF(AND(ISNUMBER(D538),ISNUMBER(Parametry!$G$6)),IF(AND(YEAR(D538)=Parametry!$G$6,M538&lt;=Parametry!$G$7),1,0),0)</f>
        <v>0</v>
      </c>
      <c r="O538" s="13">
        <f>IF(C538="",IF(COUNTA(D538:J538)&gt;0,1,0),IF(OR(COUNTIFS($C$9:$C$1008,C538)&lt;&gt;1,NOT(ISNUMBER(D538)),NOT(ISNUMBER(I538)),L538="",AND(F538&lt;&gt;"",COUNTIFS(Umowy!$C$9:$C$108,F538,Umowy!$D$9:$D$108,L538)&lt;&gt;1)),1,0))</f>
        <v>0</v>
      </c>
      <c r="P538" s="7" t="str">
        <f t="shared" si="25"/>
        <v/>
      </c>
      <c r="Q538" s="7" t="str">
        <f t="shared" si="26"/>
        <v/>
      </c>
    </row>
    <row r="539" spans="1:17" ht="24" customHeight="1">
      <c r="A539" s="7"/>
      <c r="B539" s="7"/>
      <c r="C539" s="3"/>
      <c r="D539" s="2"/>
      <c r="E539" s="3"/>
      <c r="F539" s="3"/>
      <c r="G539" s="3"/>
      <c r="H539" s="3"/>
      <c r="I539" s="6"/>
      <c r="J539" s="3"/>
      <c r="K539" s="7"/>
      <c r="L539" s="13" t="str">
        <f>IF(C539="","",IF(COUNTIFS(Parametry!$C$54:$C$113,E539)=1,INDEX(Parametry!$D$54:$D$113,MATCH(E539,Parametry!$C$54:$C$113,0)),""))</f>
        <v/>
      </c>
      <c r="M539" s="7">
        <f t="shared" si="24"/>
        <v>0</v>
      </c>
      <c r="N539" s="13">
        <f>IF(AND(ISNUMBER(D539),ISNUMBER(Parametry!$G$6)),IF(AND(YEAR(D539)=Parametry!$G$6,M539&lt;=Parametry!$G$7),1,0),0)</f>
        <v>0</v>
      </c>
      <c r="O539" s="13">
        <f>IF(C539="",IF(COUNTA(D539:J539)&gt;0,1,0),IF(OR(COUNTIFS($C$9:$C$1008,C539)&lt;&gt;1,NOT(ISNUMBER(D539)),NOT(ISNUMBER(I539)),L539="",AND(F539&lt;&gt;"",COUNTIFS(Umowy!$C$9:$C$108,F539,Umowy!$D$9:$D$108,L539)&lt;&gt;1)),1,0))</f>
        <v>0</v>
      </c>
      <c r="P539" s="7" t="str">
        <f t="shared" si="25"/>
        <v/>
      </c>
      <c r="Q539" s="7" t="str">
        <f t="shared" si="26"/>
        <v/>
      </c>
    </row>
    <row r="540" spans="1:17" ht="24" customHeight="1">
      <c r="A540" s="7"/>
      <c r="B540" s="7"/>
      <c r="C540" s="3"/>
      <c r="D540" s="2"/>
      <c r="E540" s="3"/>
      <c r="F540" s="3"/>
      <c r="G540" s="3"/>
      <c r="H540" s="3"/>
      <c r="I540" s="6"/>
      <c r="J540" s="3"/>
      <c r="K540" s="7"/>
      <c r="L540" s="13" t="str">
        <f>IF(C540="","",IF(COUNTIFS(Parametry!$C$54:$C$113,E540)=1,INDEX(Parametry!$D$54:$D$113,MATCH(E540,Parametry!$C$54:$C$113,0)),""))</f>
        <v/>
      </c>
      <c r="M540" s="7">
        <f t="shared" si="24"/>
        <v>0</v>
      </c>
      <c r="N540" s="13">
        <f>IF(AND(ISNUMBER(D540),ISNUMBER(Parametry!$G$6)),IF(AND(YEAR(D540)=Parametry!$G$6,M540&lt;=Parametry!$G$7),1,0),0)</f>
        <v>0</v>
      </c>
      <c r="O540" s="13">
        <f>IF(C540="",IF(COUNTA(D540:J540)&gt;0,1,0),IF(OR(COUNTIFS($C$9:$C$1008,C540)&lt;&gt;1,NOT(ISNUMBER(D540)),NOT(ISNUMBER(I540)),L540="",AND(F540&lt;&gt;"",COUNTIFS(Umowy!$C$9:$C$108,F540,Umowy!$D$9:$D$108,L540)&lt;&gt;1)),1,0))</f>
        <v>0</v>
      </c>
      <c r="P540" s="7" t="str">
        <f t="shared" si="25"/>
        <v/>
      </c>
      <c r="Q540" s="7" t="str">
        <f t="shared" si="26"/>
        <v/>
      </c>
    </row>
    <row r="541" spans="1:17" ht="24" customHeight="1">
      <c r="A541" s="7"/>
      <c r="B541" s="7"/>
      <c r="C541" s="3"/>
      <c r="D541" s="2"/>
      <c r="E541" s="3"/>
      <c r="F541" s="3"/>
      <c r="G541" s="3"/>
      <c r="H541" s="3"/>
      <c r="I541" s="6"/>
      <c r="J541" s="3"/>
      <c r="K541" s="7"/>
      <c r="L541" s="13" t="str">
        <f>IF(C541="","",IF(COUNTIFS(Parametry!$C$54:$C$113,E541)=1,INDEX(Parametry!$D$54:$D$113,MATCH(E541,Parametry!$C$54:$C$113,0)),""))</f>
        <v/>
      </c>
      <c r="M541" s="7">
        <f t="shared" si="24"/>
        <v>0</v>
      </c>
      <c r="N541" s="13">
        <f>IF(AND(ISNUMBER(D541),ISNUMBER(Parametry!$G$6)),IF(AND(YEAR(D541)=Parametry!$G$6,M541&lt;=Parametry!$G$7),1,0),0)</f>
        <v>0</v>
      </c>
      <c r="O541" s="13">
        <f>IF(C541="",IF(COUNTA(D541:J541)&gt;0,1,0),IF(OR(COUNTIFS($C$9:$C$1008,C541)&lt;&gt;1,NOT(ISNUMBER(D541)),NOT(ISNUMBER(I541)),L541="",AND(F541&lt;&gt;"",COUNTIFS(Umowy!$C$9:$C$108,F541,Umowy!$D$9:$D$108,L541)&lt;&gt;1)),1,0))</f>
        <v>0</v>
      </c>
      <c r="P541" s="7" t="str">
        <f t="shared" si="25"/>
        <v/>
      </c>
      <c r="Q541" s="7" t="str">
        <f t="shared" si="26"/>
        <v/>
      </c>
    </row>
    <row r="542" spans="1:17" ht="24" customHeight="1">
      <c r="A542" s="7"/>
      <c r="B542" s="7"/>
      <c r="C542" s="3"/>
      <c r="D542" s="2"/>
      <c r="E542" s="3"/>
      <c r="F542" s="3"/>
      <c r="G542" s="3"/>
      <c r="H542" s="3"/>
      <c r="I542" s="6"/>
      <c r="J542" s="3"/>
      <c r="K542" s="7"/>
      <c r="L542" s="13" t="str">
        <f>IF(C542="","",IF(COUNTIFS(Parametry!$C$54:$C$113,E542)=1,INDEX(Parametry!$D$54:$D$113,MATCH(E542,Parametry!$C$54:$C$113,0)),""))</f>
        <v/>
      </c>
      <c r="M542" s="7">
        <f t="shared" si="24"/>
        <v>0</v>
      </c>
      <c r="N542" s="13">
        <f>IF(AND(ISNUMBER(D542),ISNUMBER(Parametry!$G$6)),IF(AND(YEAR(D542)=Parametry!$G$6,M542&lt;=Parametry!$G$7),1,0),0)</f>
        <v>0</v>
      </c>
      <c r="O542" s="13">
        <f>IF(C542="",IF(COUNTA(D542:J542)&gt;0,1,0),IF(OR(COUNTIFS($C$9:$C$1008,C542)&lt;&gt;1,NOT(ISNUMBER(D542)),NOT(ISNUMBER(I542)),L542="",AND(F542&lt;&gt;"",COUNTIFS(Umowy!$C$9:$C$108,F542,Umowy!$D$9:$D$108,L542)&lt;&gt;1)),1,0))</f>
        <v>0</v>
      </c>
      <c r="P542" s="7" t="str">
        <f t="shared" si="25"/>
        <v/>
      </c>
      <c r="Q542" s="7" t="str">
        <f t="shared" si="26"/>
        <v/>
      </c>
    </row>
    <row r="543" spans="1:17" ht="24" customHeight="1">
      <c r="A543" s="7"/>
      <c r="B543" s="7"/>
      <c r="C543" s="3"/>
      <c r="D543" s="2"/>
      <c r="E543" s="3"/>
      <c r="F543" s="3"/>
      <c r="G543" s="3"/>
      <c r="H543" s="3"/>
      <c r="I543" s="6"/>
      <c r="J543" s="3"/>
      <c r="K543" s="7"/>
      <c r="L543" s="13" t="str">
        <f>IF(C543="","",IF(COUNTIFS(Parametry!$C$54:$C$113,E543)=1,INDEX(Parametry!$D$54:$D$113,MATCH(E543,Parametry!$C$54:$C$113,0)),""))</f>
        <v/>
      </c>
      <c r="M543" s="7">
        <f t="shared" si="24"/>
        <v>0</v>
      </c>
      <c r="N543" s="13">
        <f>IF(AND(ISNUMBER(D543),ISNUMBER(Parametry!$G$6)),IF(AND(YEAR(D543)=Parametry!$G$6,M543&lt;=Parametry!$G$7),1,0),0)</f>
        <v>0</v>
      </c>
      <c r="O543" s="13">
        <f>IF(C543="",IF(COUNTA(D543:J543)&gt;0,1,0),IF(OR(COUNTIFS($C$9:$C$1008,C543)&lt;&gt;1,NOT(ISNUMBER(D543)),NOT(ISNUMBER(I543)),L543="",AND(F543&lt;&gt;"",COUNTIFS(Umowy!$C$9:$C$108,F543,Umowy!$D$9:$D$108,L543)&lt;&gt;1)),1,0))</f>
        <v>0</v>
      </c>
      <c r="P543" s="7" t="str">
        <f t="shared" si="25"/>
        <v/>
      </c>
      <c r="Q543" s="7" t="str">
        <f t="shared" si="26"/>
        <v/>
      </c>
    </row>
    <row r="544" spans="1:17" ht="24" customHeight="1">
      <c r="A544" s="7"/>
      <c r="B544" s="7"/>
      <c r="C544" s="3"/>
      <c r="D544" s="2"/>
      <c r="E544" s="3"/>
      <c r="F544" s="3"/>
      <c r="G544" s="3"/>
      <c r="H544" s="3"/>
      <c r="I544" s="6"/>
      <c r="J544" s="3"/>
      <c r="K544" s="7"/>
      <c r="L544" s="13" t="str">
        <f>IF(C544="","",IF(COUNTIFS(Parametry!$C$54:$C$113,E544)=1,INDEX(Parametry!$D$54:$D$113,MATCH(E544,Parametry!$C$54:$C$113,0)),""))</f>
        <v/>
      </c>
      <c r="M544" s="7">
        <f t="shared" si="24"/>
        <v>0</v>
      </c>
      <c r="N544" s="13">
        <f>IF(AND(ISNUMBER(D544),ISNUMBER(Parametry!$G$6)),IF(AND(YEAR(D544)=Parametry!$G$6,M544&lt;=Parametry!$G$7),1,0),0)</f>
        <v>0</v>
      </c>
      <c r="O544" s="13">
        <f>IF(C544="",IF(COUNTA(D544:J544)&gt;0,1,0),IF(OR(COUNTIFS($C$9:$C$1008,C544)&lt;&gt;1,NOT(ISNUMBER(D544)),NOT(ISNUMBER(I544)),L544="",AND(F544&lt;&gt;"",COUNTIFS(Umowy!$C$9:$C$108,F544,Umowy!$D$9:$D$108,L544)&lt;&gt;1)),1,0))</f>
        <v>0</v>
      </c>
      <c r="P544" s="7" t="str">
        <f t="shared" si="25"/>
        <v/>
      </c>
      <c r="Q544" s="7" t="str">
        <f t="shared" si="26"/>
        <v/>
      </c>
    </row>
    <row r="545" spans="1:17" ht="24" customHeight="1">
      <c r="A545" s="7"/>
      <c r="B545" s="7"/>
      <c r="C545" s="3"/>
      <c r="D545" s="2"/>
      <c r="E545" s="3"/>
      <c r="F545" s="3"/>
      <c r="G545" s="3"/>
      <c r="H545" s="3"/>
      <c r="I545" s="6"/>
      <c r="J545" s="3"/>
      <c r="K545" s="7"/>
      <c r="L545" s="13" t="str">
        <f>IF(C545="","",IF(COUNTIFS(Parametry!$C$54:$C$113,E545)=1,INDEX(Parametry!$D$54:$D$113,MATCH(E545,Parametry!$C$54:$C$113,0)),""))</f>
        <v/>
      </c>
      <c r="M545" s="7">
        <f t="shared" si="24"/>
        <v>0</v>
      </c>
      <c r="N545" s="13">
        <f>IF(AND(ISNUMBER(D545),ISNUMBER(Parametry!$G$6)),IF(AND(YEAR(D545)=Parametry!$G$6,M545&lt;=Parametry!$G$7),1,0),0)</f>
        <v>0</v>
      </c>
      <c r="O545" s="13">
        <f>IF(C545="",IF(COUNTA(D545:J545)&gt;0,1,0),IF(OR(COUNTIFS($C$9:$C$1008,C545)&lt;&gt;1,NOT(ISNUMBER(D545)),NOT(ISNUMBER(I545)),L545="",AND(F545&lt;&gt;"",COUNTIFS(Umowy!$C$9:$C$108,F545,Umowy!$D$9:$D$108,L545)&lt;&gt;1)),1,0))</f>
        <v>0</v>
      </c>
      <c r="P545" s="7" t="str">
        <f t="shared" si="25"/>
        <v/>
      </c>
      <c r="Q545" s="7" t="str">
        <f t="shared" si="26"/>
        <v/>
      </c>
    </row>
    <row r="546" spans="1:17" ht="24" customHeight="1">
      <c r="A546" s="7"/>
      <c r="B546" s="7"/>
      <c r="C546" s="3"/>
      <c r="D546" s="2"/>
      <c r="E546" s="3"/>
      <c r="F546" s="3"/>
      <c r="G546" s="3"/>
      <c r="H546" s="3"/>
      <c r="I546" s="6"/>
      <c r="J546" s="3"/>
      <c r="K546" s="7"/>
      <c r="L546" s="13" t="str">
        <f>IF(C546="","",IF(COUNTIFS(Parametry!$C$54:$C$113,E546)=1,INDEX(Parametry!$D$54:$D$113,MATCH(E546,Parametry!$C$54:$C$113,0)),""))</f>
        <v/>
      </c>
      <c r="M546" s="7">
        <f t="shared" si="24"/>
        <v>0</v>
      </c>
      <c r="N546" s="13">
        <f>IF(AND(ISNUMBER(D546),ISNUMBER(Parametry!$G$6)),IF(AND(YEAR(D546)=Parametry!$G$6,M546&lt;=Parametry!$G$7),1,0),0)</f>
        <v>0</v>
      </c>
      <c r="O546" s="13">
        <f>IF(C546="",IF(COUNTA(D546:J546)&gt;0,1,0),IF(OR(COUNTIFS($C$9:$C$1008,C546)&lt;&gt;1,NOT(ISNUMBER(D546)),NOT(ISNUMBER(I546)),L546="",AND(F546&lt;&gt;"",COUNTIFS(Umowy!$C$9:$C$108,F546,Umowy!$D$9:$D$108,L546)&lt;&gt;1)),1,0))</f>
        <v>0</v>
      </c>
      <c r="P546" s="7" t="str">
        <f t="shared" si="25"/>
        <v/>
      </c>
      <c r="Q546" s="7" t="str">
        <f t="shared" si="26"/>
        <v/>
      </c>
    </row>
    <row r="547" spans="1:17" ht="24" customHeight="1">
      <c r="A547" s="7"/>
      <c r="B547" s="7"/>
      <c r="C547" s="3"/>
      <c r="D547" s="2"/>
      <c r="E547" s="3"/>
      <c r="F547" s="3"/>
      <c r="G547" s="3"/>
      <c r="H547" s="3"/>
      <c r="I547" s="6"/>
      <c r="J547" s="3"/>
      <c r="K547" s="7"/>
      <c r="L547" s="13" t="str">
        <f>IF(C547="","",IF(COUNTIFS(Parametry!$C$54:$C$113,E547)=1,INDEX(Parametry!$D$54:$D$113,MATCH(E547,Parametry!$C$54:$C$113,0)),""))</f>
        <v/>
      </c>
      <c r="M547" s="7">
        <f t="shared" si="24"/>
        <v>0</v>
      </c>
      <c r="N547" s="13">
        <f>IF(AND(ISNUMBER(D547),ISNUMBER(Parametry!$G$6)),IF(AND(YEAR(D547)=Parametry!$G$6,M547&lt;=Parametry!$G$7),1,0),0)</f>
        <v>0</v>
      </c>
      <c r="O547" s="13">
        <f>IF(C547="",IF(COUNTA(D547:J547)&gt;0,1,0),IF(OR(COUNTIFS($C$9:$C$1008,C547)&lt;&gt;1,NOT(ISNUMBER(D547)),NOT(ISNUMBER(I547)),L547="",AND(F547&lt;&gt;"",COUNTIFS(Umowy!$C$9:$C$108,F547,Umowy!$D$9:$D$108,L547)&lt;&gt;1)),1,0))</f>
        <v>0</v>
      </c>
      <c r="P547" s="7" t="str">
        <f t="shared" si="25"/>
        <v/>
      </c>
      <c r="Q547" s="7" t="str">
        <f t="shared" si="26"/>
        <v/>
      </c>
    </row>
    <row r="548" spans="1:17" ht="24" customHeight="1">
      <c r="A548" s="7"/>
      <c r="B548" s="7"/>
      <c r="C548" s="3"/>
      <c r="D548" s="2"/>
      <c r="E548" s="3"/>
      <c r="F548" s="3"/>
      <c r="G548" s="3"/>
      <c r="H548" s="3"/>
      <c r="I548" s="6"/>
      <c r="J548" s="3"/>
      <c r="K548" s="7"/>
      <c r="L548" s="13" t="str">
        <f>IF(C548="","",IF(COUNTIFS(Parametry!$C$54:$C$113,E548)=1,INDEX(Parametry!$D$54:$D$113,MATCH(E548,Parametry!$C$54:$C$113,0)),""))</f>
        <v/>
      </c>
      <c r="M548" s="7">
        <f t="shared" si="24"/>
        <v>0</v>
      </c>
      <c r="N548" s="13">
        <f>IF(AND(ISNUMBER(D548),ISNUMBER(Parametry!$G$6)),IF(AND(YEAR(D548)=Parametry!$G$6,M548&lt;=Parametry!$G$7),1,0),0)</f>
        <v>0</v>
      </c>
      <c r="O548" s="13">
        <f>IF(C548="",IF(COUNTA(D548:J548)&gt;0,1,0),IF(OR(COUNTIFS($C$9:$C$1008,C548)&lt;&gt;1,NOT(ISNUMBER(D548)),NOT(ISNUMBER(I548)),L548="",AND(F548&lt;&gt;"",COUNTIFS(Umowy!$C$9:$C$108,F548,Umowy!$D$9:$D$108,L548)&lt;&gt;1)),1,0))</f>
        <v>0</v>
      </c>
      <c r="P548" s="7" t="str">
        <f t="shared" si="25"/>
        <v/>
      </c>
      <c r="Q548" s="7" t="str">
        <f t="shared" si="26"/>
        <v/>
      </c>
    </row>
    <row r="549" spans="1:17" ht="24" customHeight="1">
      <c r="A549" s="7"/>
      <c r="B549" s="7"/>
      <c r="C549" s="3"/>
      <c r="D549" s="2"/>
      <c r="E549" s="3"/>
      <c r="F549" s="3"/>
      <c r="G549" s="3"/>
      <c r="H549" s="3"/>
      <c r="I549" s="6"/>
      <c r="J549" s="3"/>
      <c r="K549" s="7"/>
      <c r="L549" s="13" t="str">
        <f>IF(C549="","",IF(COUNTIFS(Parametry!$C$54:$C$113,E549)=1,INDEX(Parametry!$D$54:$D$113,MATCH(E549,Parametry!$C$54:$C$113,0)),""))</f>
        <v/>
      </c>
      <c r="M549" s="7">
        <f t="shared" si="24"/>
        <v>0</v>
      </c>
      <c r="N549" s="13">
        <f>IF(AND(ISNUMBER(D549),ISNUMBER(Parametry!$G$6)),IF(AND(YEAR(D549)=Parametry!$G$6,M549&lt;=Parametry!$G$7),1,0),0)</f>
        <v>0</v>
      </c>
      <c r="O549" s="13">
        <f>IF(C549="",IF(COUNTA(D549:J549)&gt;0,1,0),IF(OR(COUNTIFS($C$9:$C$1008,C549)&lt;&gt;1,NOT(ISNUMBER(D549)),NOT(ISNUMBER(I549)),L549="",AND(F549&lt;&gt;"",COUNTIFS(Umowy!$C$9:$C$108,F549,Umowy!$D$9:$D$108,L549)&lt;&gt;1)),1,0))</f>
        <v>0</v>
      </c>
      <c r="P549" s="7" t="str">
        <f t="shared" si="25"/>
        <v/>
      </c>
      <c r="Q549" s="7" t="str">
        <f t="shared" si="26"/>
        <v/>
      </c>
    </row>
    <row r="550" spans="1:17" ht="24" customHeight="1">
      <c r="A550" s="7"/>
      <c r="B550" s="7"/>
      <c r="C550" s="3"/>
      <c r="D550" s="2"/>
      <c r="E550" s="3"/>
      <c r="F550" s="3"/>
      <c r="G550" s="3"/>
      <c r="H550" s="3"/>
      <c r="I550" s="6"/>
      <c r="J550" s="3"/>
      <c r="K550" s="7"/>
      <c r="L550" s="13" t="str">
        <f>IF(C550="","",IF(COUNTIFS(Parametry!$C$54:$C$113,E550)=1,INDEX(Parametry!$D$54:$D$113,MATCH(E550,Parametry!$C$54:$C$113,0)),""))</f>
        <v/>
      </c>
      <c r="M550" s="7">
        <f t="shared" si="24"/>
        <v>0</v>
      </c>
      <c r="N550" s="13">
        <f>IF(AND(ISNUMBER(D550),ISNUMBER(Parametry!$G$6)),IF(AND(YEAR(D550)=Parametry!$G$6,M550&lt;=Parametry!$G$7),1,0),0)</f>
        <v>0</v>
      </c>
      <c r="O550" s="13">
        <f>IF(C550="",IF(COUNTA(D550:J550)&gt;0,1,0),IF(OR(COUNTIFS($C$9:$C$1008,C550)&lt;&gt;1,NOT(ISNUMBER(D550)),NOT(ISNUMBER(I550)),L550="",AND(F550&lt;&gt;"",COUNTIFS(Umowy!$C$9:$C$108,F550,Umowy!$D$9:$D$108,L550)&lt;&gt;1)),1,0))</f>
        <v>0</v>
      </c>
      <c r="P550" s="7" t="str">
        <f t="shared" si="25"/>
        <v/>
      </c>
      <c r="Q550" s="7" t="str">
        <f t="shared" si="26"/>
        <v/>
      </c>
    </row>
    <row r="551" spans="1:17" ht="24" customHeight="1">
      <c r="A551" s="7"/>
      <c r="B551" s="7"/>
      <c r="C551" s="3"/>
      <c r="D551" s="2"/>
      <c r="E551" s="3"/>
      <c r="F551" s="3"/>
      <c r="G551" s="3"/>
      <c r="H551" s="3"/>
      <c r="I551" s="6"/>
      <c r="J551" s="3"/>
      <c r="K551" s="7"/>
      <c r="L551" s="13" t="str">
        <f>IF(C551="","",IF(COUNTIFS(Parametry!$C$54:$C$113,E551)=1,INDEX(Parametry!$D$54:$D$113,MATCH(E551,Parametry!$C$54:$C$113,0)),""))</f>
        <v/>
      </c>
      <c r="M551" s="7">
        <f t="shared" si="24"/>
        <v>0</v>
      </c>
      <c r="N551" s="13">
        <f>IF(AND(ISNUMBER(D551),ISNUMBER(Parametry!$G$6)),IF(AND(YEAR(D551)=Parametry!$G$6,M551&lt;=Parametry!$G$7),1,0),0)</f>
        <v>0</v>
      </c>
      <c r="O551" s="13">
        <f>IF(C551="",IF(COUNTA(D551:J551)&gt;0,1,0),IF(OR(COUNTIFS($C$9:$C$1008,C551)&lt;&gt;1,NOT(ISNUMBER(D551)),NOT(ISNUMBER(I551)),L551="",AND(F551&lt;&gt;"",COUNTIFS(Umowy!$C$9:$C$108,F551,Umowy!$D$9:$D$108,L551)&lt;&gt;1)),1,0))</f>
        <v>0</v>
      </c>
      <c r="P551" s="7" t="str">
        <f t="shared" si="25"/>
        <v/>
      </c>
      <c r="Q551" s="7" t="str">
        <f t="shared" si="26"/>
        <v/>
      </c>
    </row>
    <row r="552" spans="1:17" ht="24" customHeight="1">
      <c r="A552" s="7"/>
      <c r="B552" s="7"/>
      <c r="C552" s="3"/>
      <c r="D552" s="2"/>
      <c r="E552" s="3"/>
      <c r="F552" s="3"/>
      <c r="G552" s="3"/>
      <c r="H552" s="3"/>
      <c r="I552" s="6"/>
      <c r="J552" s="3"/>
      <c r="K552" s="7"/>
      <c r="L552" s="13" t="str">
        <f>IF(C552="","",IF(COUNTIFS(Parametry!$C$54:$C$113,E552)=1,INDEX(Parametry!$D$54:$D$113,MATCH(E552,Parametry!$C$54:$C$113,0)),""))</f>
        <v/>
      </c>
      <c r="M552" s="7">
        <f t="shared" si="24"/>
        <v>0</v>
      </c>
      <c r="N552" s="13">
        <f>IF(AND(ISNUMBER(D552),ISNUMBER(Parametry!$G$6)),IF(AND(YEAR(D552)=Parametry!$G$6,M552&lt;=Parametry!$G$7),1,0),0)</f>
        <v>0</v>
      </c>
      <c r="O552" s="13">
        <f>IF(C552="",IF(COUNTA(D552:J552)&gt;0,1,0),IF(OR(COUNTIFS($C$9:$C$1008,C552)&lt;&gt;1,NOT(ISNUMBER(D552)),NOT(ISNUMBER(I552)),L552="",AND(F552&lt;&gt;"",COUNTIFS(Umowy!$C$9:$C$108,F552,Umowy!$D$9:$D$108,L552)&lt;&gt;1)),1,0))</f>
        <v>0</v>
      </c>
      <c r="P552" s="7" t="str">
        <f t="shared" si="25"/>
        <v/>
      </c>
      <c r="Q552" s="7" t="str">
        <f t="shared" si="26"/>
        <v/>
      </c>
    </row>
    <row r="553" spans="1:17" ht="24" customHeight="1">
      <c r="A553" s="7"/>
      <c r="B553" s="7"/>
      <c r="C553" s="3"/>
      <c r="D553" s="2"/>
      <c r="E553" s="3"/>
      <c r="F553" s="3"/>
      <c r="G553" s="3"/>
      <c r="H553" s="3"/>
      <c r="I553" s="6"/>
      <c r="J553" s="3"/>
      <c r="K553" s="7"/>
      <c r="L553" s="13" t="str">
        <f>IF(C553="","",IF(COUNTIFS(Parametry!$C$54:$C$113,E553)=1,INDEX(Parametry!$D$54:$D$113,MATCH(E553,Parametry!$C$54:$C$113,0)),""))</f>
        <v/>
      </c>
      <c r="M553" s="7">
        <f t="shared" si="24"/>
        <v>0</v>
      </c>
      <c r="N553" s="13">
        <f>IF(AND(ISNUMBER(D553),ISNUMBER(Parametry!$G$6)),IF(AND(YEAR(D553)=Parametry!$G$6,M553&lt;=Parametry!$G$7),1,0),0)</f>
        <v>0</v>
      </c>
      <c r="O553" s="13">
        <f>IF(C553="",IF(COUNTA(D553:J553)&gt;0,1,0),IF(OR(COUNTIFS($C$9:$C$1008,C553)&lt;&gt;1,NOT(ISNUMBER(D553)),NOT(ISNUMBER(I553)),L553="",AND(F553&lt;&gt;"",COUNTIFS(Umowy!$C$9:$C$108,F553,Umowy!$D$9:$D$108,L553)&lt;&gt;1)),1,0))</f>
        <v>0</v>
      </c>
      <c r="P553" s="7" t="str">
        <f t="shared" si="25"/>
        <v/>
      </c>
      <c r="Q553" s="7" t="str">
        <f t="shared" si="26"/>
        <v/>
      </c>
    </row>
    <row r="554" spans="1:17" ht="24" customHeight="1">
      <c r="A554" s="7"/>
      <c r="B554" s="7"/>
      <c r="C554" s="3"/>
      <c r="D554" s="2"/>
      <c r="E554" s="3"/>
      <c r="F554" s="3"/>
      <c r="G554" s="3"/>
      <c r="H554" s="3"/>
      <c r="I554" s="6"/>
      <c r="J554" s="3"/>
      <c r="K554" s="7"/>
      <c r="L554" s="13" t="str">
        <f>IF(C554="","",IF(COUNTIFS(Parametry!$C$54:$C$113,E554)=1,INDEX(Parametry!$D$54:$D$113,MATCH(E554,Parametry!$C$54:$C$113,0)),""))</f>
        <v/>
      </c>
      <c r="M554" s="7">
        <f t="shared" si="24"/>
        <v>0</v>
      </c>
      <c r="N554" s="13">
        <f>IF(AND(ISNUMBER(D554),ISNUMBER(Parametry!$G$6)),IF(AND(YEAR(D554)=Parametry!$G$6,M554&lt;=Parametry!$G$7),1,0),0)</f>
        <v>0</v>
      </c>
      <c r="O554" s="13">
        <f>IF(C554="",IF(COUNTA(D554:J554)&gt;0,1,0),IF(OR(COUNTIFS($C$9:$C$1008,C554)&lt;&gt;1,NOT(ISNUMBER(D554)),NOT(ISNUMBER(I554)),L554="",AND(F554&lt;&gt;"",COUNTIFS(Umowy!$C$9:$C$108,F554,Umowy!$D$9:$D$108,L554)&lt;&gt;1)),1,0))</f>
        <v>0</v>
      </c>
      <c r="P554" s="7" t="str">
        <f t="shared" si="25"/>
        <v/>
      </c>
      <c r="Q554" s="7" t="str">
        <f t="shared" si="26"/>
        <v/>
      </c>
    </row>
    <row r="555" spans="1:17" ht="24" customHeight="1">
      <c r="A555" s="7"/>
      <c r="B555" s="7"/>
      <c r="C555" s="3"/>
      <c r="D555" s="2"/>
      <c r="E555" s="3"/>
      <c r="F555" s="3"/>
      <c r="G555" s="3"/>
      <c r="H555" s="3"/>
      <c r="I555" s="6"/>
      <c r="J555" s="3"/>
      <c r="K555" s="7"/>
      <c r="L555" s="13" t="str">
        <f>IF(C555="","",IF(COUNTIFS(Parametry!$C$54:$C$113,E555)=1,INDEX(Parametry!$D$54:$D$113,MATCH(E555,Parametry!$C$54:$C$113,0)),""))</f>
        <v/>
      </c>
      <c r="M555" s="7">
        <f t="shared" si="24"/>
        <v>0</v>
      </c>
      <c r="N555" s="13">
        <f>IF(AND(ISNUMBER(D555),ISNUMBER(Parametry!$G$6)),IF(AND(YEAR(D555)=Parametry!$G$6,M555&lt;=Parametry!$G$7),1,0),0)</f>
        <v>0</v>
      </c>
      <c r="O555" s="13">
        <f>IF(C555="",IF(COUNTA(D555:J555)&gt;0,1,0),IF(OR(COUNTIFS($C$9:$C$1008,C555)&lt;&gt;1,NOT(ISNUMBER(D555)),NOT(ISNUMBER(I555)),L555="",AND(F555&lt;&gt;"",COUNTIFS(Umowy!$C$9:$C$108,F555,Umowy!$D$9:$D$108,L555)&lt;&gt;1)),1,0))</f>
        <v>0</v>
      </c>
      <c r="P555" s="7" t="str">
        <f t="shared" si="25"/>
        <v/>
      </c>
      <c r="Q555" s="7" t="str">
        <f t="shared" si="26"/>
        <v/>
      </c>
    </row>
    <row r="556" spans="1:17" ht="24" customHeight="1">
      <c r="A556" s="7"/>
      <c r="B556" s="7"/>
      <c r="C556" s="3"/>
      <c r="D556" s="2"/>
      <c r="E556" s="3"/>
      <c r="F556" s="3"/>
      <c r="G556" s="3"/>
      <c r="H556" s="3"/>
      <c r="I556" s="6"/>
      <c r="J556" s="3"/>
      <c r="K556" s="7"/>
      <c r="L556" s="13" t="str">
        <f>IF(C556="","",IF(COUNTIFS(Parametry!$C$54:$C$113,E556)=1,INDEX(Parametry!$D$54:$D$113,MATCH(E556,Parametry!$C$54:$C$113,0)),""))</f>
        <v/>
      </c>
      <c r="M556" s="7">
        <f t="shared" si="24"/>
        <v>0</v>
      </c>
      <c r="N556" s="13">
        <f>IF(AND(ISNUMBER(D556),ISNUMBER(Parametry!$G$6)),IF(AND(YEAR(D556)=Parametry!$G$6,M556&lt;=Parametry!$G$7),1,0),0)</f>
        <v>0</v>
      </c>
      <c r="O556" s="13">
        <f>IF(C556="",IF(COUNTA(D556:J556)&gt;0,1,0),IF(OR(COUNTIFS($C$9:$C$1008,C556)&lt;&gt;1,NOT(ISNUMBER(D556)),NOT(ISNUMBER(I556)),L556="",AND(F556&lt;&gt;"",COUNTIFS(Umowy!$C$9:$C$108,F556,Umowy!$D$9:$D$108,L556)&lt;&gt;1)),1,0))</f>
        <v>0</v>
      </c>
      <c r="P556" s="7" t="str">
        <f t="shared" si="25"/>
        <v/>
      </c>
      <c r="Q556" s="7" t="str">
        <f t="shared" si="26"/>
        <v/>
      </c>
    </row>
    <row r="557" spans="1:17" ht="24" customHeight="1">
      <c r="A557" s="7"/>
      <c r="B557" s="7"/>
      <c r="C557" s="3"/>
      <c r="D557" s="2"/>
      <c r="E557" s="3"/>
      <c r="F557" s="3"/>
      <c r="G557" s="3"/>
      <c r="H557" s="3"/>
      <c r="I557" s="6"/>
      <c r="J557" s="3"/>
      <c r="K557" s="7"/>
      <c r="L557" s="13" t="str">
        <f>IF(C557="","",IF(COUNTIFS(Parametry!$C$54:$C$113,E557)=1,INDEX(Parametry!$D$54:$D$113,MATCH(E557,Parametry!$C$54:$C$113,0)),""))</f>
        <v/>
      </c>
      <c r="M557" s="7">
        <f t="shared" si="24"/>
        <v>0</v>
      </c>
      <c r="N557" s="13">
        <f>IF(AND(ISNUMBER(D557),ISNUMBER(Parametry!$G$6)),IF(AND(YEAR(D557)=Parametry!$G$6,M557&lt;=Parametry!$G$7),1,0),0)</f>
        <v>0</v>
      </c>
      <c r="O557" s="13">
        <f>IF(C557="",IF(COUNTA(D557:J557)&gt;0,1,0),IF(OR(COUNTIFS($C$9:$C$1008,C557)&lt;&gt;1,NOT(ISNUMBER(D557)),NOT(ISNUMBER(I557)),L557="",AND(F557&lt;&gt;"",COUNTIFS(Umowy!$C$9:$C$108,F557,Umowy!$D$9:$D$108,L557)&lt;&gt;1)),1,0))</f>
        <v>0</v>
      </c>
      <c r="P557" s="7" t="str">
        <f t="shared" si="25"/>
        <v/>
      </c>
      <c r="Q557" s="7" t="str">
        <f t="shared" si="26"/>
        <v/>
      </c>
    </row>
    <row r="558" spans="1:17" ht="24" customHeight="1">
      <c r="A558" s="7"/>
      <c r="B558" s="7"/>
      <c r="C558" s="3"/>
      <c r="D558" s="2"/>
      <c r="E558" s="3"/>
      <c r="F558" s="3"/>
      <c r="G558" s="3"/>
      <c r="H558" s="3"/>
      <c r="I558" s="6"/>
      <c r="J558" s="3"/>
      <c r="K558" s="7"/>
      <c r="L558" s="13" t="str">
        <f>IF(C558="","",IF(COUNTIFS(Parametry!$C$54:$C$113,E558)=1,INDEX(Parametry!$D$54:$D$113,MATCH(E558,Parametry!$C$54:$C$113,0)),""))</f>
        <v/>
      </c>
      <c r="M558" s="7">
        <f t="shared" si="24"/>
        <v>0</v>
      </c>
      <c r="N558" s="13">
        <f>IF(AND(ISNUMBER(D558),ISNUMBER(Parametry!$G$6)),IF(AND(YEAR(D558)=Parametry!$G$6,M558&lt;=Parametry!$G$7),1,0),0)</f>
        <v>0</v>
      </c>
      <c r="O558" s="13">
        <f>IF(C558="",IF(COUNTA(D558:J558)&gt;0,1,0),IF(OR(COUNTIFS($C$9:$C$1008,C558)&lt;&gt;1,NOT(ISNUMBER(D558)),NOT(ISNUMBER(I558)),L558="",AND(F558&lt;&gt;"",COUNTIFS(Umowy!$C$9:$C$108,F558,Umowy!$D$9:$D$108,L558)&lt;&gt;1)),1,0))</f>
        <v>0</v>
      </c>
      <c r="P558" s="7" t="str">
        <f t="shared" si="25"/>
        <v/>
      </c>
      <c r="Q558" s="7" t="str">
        <f t="shared" si="26"/>
        <v/>
      </c>
    </row>
    <row r="559" spans="1:17" ht="24" customHeight="1">
      <c r="A559" s="7"/>
      <c r="B559" s="7"/>
      <c r="C559" s="3"/>
      <c r="D559" s="2"/>
      <c r="E559" s="3"/>
      <c r="F559" s="3"/>
      <c r="G559" s="3"/>
      <c r="H559" s="3"/>
      <c r="I559" s="6"/>
      <c r="J559" s="3"/>
      <c r="K559" s="7"/>
      <c r="L559" s="13" t="str">
        <f>IF(C559="","",IF(COUNTIFS(Parametry!$C$54:$C$113,E559)=1,INDEX(Parametry!$D$54:$D$113,MATCH(E559,Parametry!$C$54:$C$113,0)),""))</f>
        <v/>
      </c>
      <c r="M559" s="7">
        <f t="shared" si="24"/>
        <v>0</v>
      </c>
      <c r="N559" s="13">
        <f>IF(AND(ISNUMBER(D559),ISNUMBER(Parametry!$G$6)),IF(AND(YEAR(D559)=Parametry!$G$6,M559&lt;=Parametry!$G$7),1,0),0)</f>
        <v>0</v>
      </c>
      <c r="O559" s="13">
        <f>IF(C559="",IF(COUNTA(D559:J559)&gt;0,1,0),IF(OR(COUNTIFS($C$9:$C$1008,C559)&lt;&gt;1,NOT(ISNUMBER(D559)),NOT(ISNUMBER(I559)),L559="",AND(F559&lt;&gt;"",COUNTIFS(Umowy!$C$9:$C$108,F559,Umowy!$D$9:$D$108,L559)&lt;&gt;1)),1,0))</f>
        <v>0</v>
      </c>
      <c r="P559" s="7" t="str">
        <f t="shared" si="25"/>
        <v/>
      </c>
      <c r="Q559" s="7" t="str">
        <f t="shared" si="26"/>
        <v/>
      </c>
    </row>
    <row r="560" spans="1:17" ht="24" customHeight="1">
      <c r="A560" s="7"/>
      <c r="B560" s="7"/>
      <c r="C560" s="3"/>
      <c r="D560" s="2"/>
      <c r="E560" s="3"/>
      <c r="F560" s="3"/>
      <c r="G560" s="3"/>
      <c r="H560" s="3"/>
      <c r="I560" s="6"/>
      <c r="J560" s="3"/>
      <c r="K560" s="7"/>
      <c r="L560" s="13" t="str">
        <f>IF(C560="","",IF(COUNTIFS(Parametry!$C$54:$C$113,E560)=1,INDEX(Parametry!$D$54:$D$113,MATCH(E560,Parametry!$C$54:$C$113,0)),""))</f>
        <v/>
      </c>
      <c r="M560" s="7">
        <f t="shared" si="24"/>
        <v>0</v>
      </c>
      <c r="N560" s="13">
        <f>IF(AND(ISNUMBER(D560),ISNUMBER(Parametry!$G$6)),IF(AND(YEAR(D560)=Parametry!$G$6,M560&lt;=Parametry!$G$7),1,0),0)</f>
        <v>0</v>
      </c>
      <c r="O560" s="13">
        <f>IF(C560="",IF(COUNTA(D560:J560)&gt;0,1,0),IF(OR(COUNTIFS($C$9:$C$1008,C560)&lt;&gt;1,NOT(ISNUMBER(D560)),NOT(ISNUMBER(I560)),L560="",AND(F560&lt;&gt;"",COUNTIFS(Umowy!$C$9:$C$108,F560,Umowy!$D$9:$D$108,L560)&lt;&gt;1)),1,0))</f>
        <v>0</v>
      </c>
      <c r="P560" s="7" t="str">
        <f t="shared" si="25"/>
        <v/>
      </c>
      <c r="Q560" s="7" t="str">
        <f t="shared" si="26"/>
        <v/>
      </c>
    </row>
    <row r="561" spans="1:17" ht="24" customHeight="1">
      <c r="A561" s="7"/>
      <c r="B561" s="7"/>
      <c r="C561" s="3"/>
      <c r="D561" s="2"/>
      <c r="E561" s="3"/>
      <c r="F561" s="3"/>
      <c r="G561" s="3"/>
      <c r="H561" s="3"/>
      <c r="I561" s="6"/>
      <c r="J561" s="3"/>
      <c r="K561" s="7"/>
      <c r="L561" s="13" t="str">
        <f>IF(C561="","",IF(COUNTIFS(Parametry!$C$54:$C$113,E561)=1,INDEX(Parametry!$D$54:$D$113,MATCH(E561,Parametry!$C$54:$C$113,0)),""))</f>
        <v/>
      </c>
      <c r="M561" s="7">
        <f t="shared" si="24"/>
        <v>0</v>
      </c>
      <c r="N561" s="13">
        <f>IF(AND(ISNUMBER(D561),ISNUMBER(Parametry!$G$6)),IF(AND(YEAR(D561)=Parametry!$G$6,M561&lt;=Parametry!$G$7),1,0),0)</f>
        <v>0</v>
      </c>
      <c r="O561" s="13">
        <f>IF(C561="",IF(COUNTA(D561:J561)&gt;0,1,0),IF(OR(COUNTIFS($C$9:$C$1008,C561)&lt;&gt;1,NOT(ISNUMBER(D561)),NOT(ISNUMBER(I561)),L561="",AND(F561&lt;&gt;"",COUNTIFS(Umowy!$C$9:$C$108,F561,Umowy!$D$9:$D$108,L561)&lt;&gt;1)),1,0))</f>
        <v>0</v>
      </c>
      <c r="P561" s="7" t="str">
        <f t="shared" si="25"/>
        <v/>
      </c>
      <c r="Q561" s="7" t="str">
        <f t="shared" si="26"/>
        <v/>
      </c>
    </row>
    <row r="562" spans="1:17" ht="24" customHeight="1">
      <c r="A562" s="7"/>
      <c r="B562" s="7"/>
      <c r="C562" s="3"/>
      <c r="D562" s="2"/>
      <c r="E562" s="3"/>
      <c r="F562" s="3"/>
      <c r="G562" s="3"/>
      <c r="H562" s="3"/>
      <c r="I562" s="6"/>
      <c r="J562" s="3"/>
      <c r="K562" s="7"/>
      <c r="L562" s="13" t="str">
        <f>IF(C562="","",IF(COUNTIFS(Parametry!$C$54:$C$113,E562)=1,INDEX(Parametry!$D$54:$D$113,MATCH(E562,Parametry!$C$54:$C$113,0)),""))</f>
        <v/>
      </c>
      <c r="M562" s="7">
        <f t="shared" si="24"/>
        <v>0</v>
      </c>
      <c r="N562" s="13">
        <f>IF(AND(ISNUMBER(D562),ISNUMBER(Parametry!$G$6)),IF(AND(YEAR(D562)=Parametry!$G$6,M562&lt;=Parametry!$G$7),1,0),0)</f>
        <v>0</v>
      </c>
      <c r="O562" s="13">
        <f>IF(C562="",IF(COUNTA(D562:J562)&gt;0,1,0),IF(OR(COUNTIFS($C$9:$C$1008,C562)&lt;&gt;1,NOT(ISNUMBER(D562)),NOT(ISNUMBER(I562)),L562="",AND(F562&lt;&gt;"",COUNTIFS(Umowy!$C$9:$C$108,F562,Umowy!$D$9:$D$108,L562)&lt;&gt;1)),1,0))</f>
        <v>0</v>
      </c>
      <c r="P562" s="7" t="str">
        <f t="shared" si="25"/>
        <v/>
      </c>
      <c r="Q562" s="7" t="str">
        <f t="shared" si="26"/>
        <v/>
      </c>
    </row>
    <row r="563" spans="1:17" ht="24" customHeight="1">
      <c r="A563" s="7"/>
      <c r="B563" s="7"/>
      <c r="C563" s="3"/>
      <c r="D563" s="2"/>
      <c r="E563" s="3"/>
      <c r="F563" s="3"/>
      <c r="G563" s="3"/>
      <c r="H563" s="3"/>
      <c r="I563" s="6"/>
      <c r="J563" s="3"/>
      <c r="K563" s="7"/>
      <c r="L563" s="13" t="str">
        <f>IF(C563="","",IF(COUNTIFS(Parametry!$C$54:$C$113,E563)=1,INDEX(Parametry!$D$54:$D$113,MATCH(E563,Parametry!$C$54:$C$113,0)),""))</f>
        <v/>
      </c>
      <c r="M563" s="7">
        <f t="shared" si="24"/>
        <v>0</v>
      </c>
      <c r="N563" s="13">
        <f>IF(AND(ISNUMBER(D563),ISNUMBER(Parametry!$G$6)),IF(AND(YEAR(D563)=Parametry!$G$6,M563&lt;=Parametry!$G$7),1,0),0)</f>
        <v>0</v>
      </c>
      <c r="O563" s="13">
        <f>IF(C563="",IF(COUNTA(D563:J563)&gt;0,1,0),IF(OR(COUNTIFS($C$9:$C$1008,C563)&lt;&gt;1,NOT(ISNUMBER(D563)),NOT(ISNUMBER(I563)),L563="",AND(F563&lt;&gt;"",COUNTIFS(Umowy!$C$9:$C$108,F563,Umowy!$D$9:$D$108,L563)&lt;&gt;1)),1,0))</f>
        <v>0</v>
      </c>
      <c r="P563" s="7" t="str">
        <f t="shared" si="25"/>
        <v/>
      </c>
      <c r="Q563" s="7" t="str">
        <f t="shared" si="26"/>
        <v/>
      </c>
    </row>
    <row r="564" spans="1:17" ht="24" customHeight="1">
      <c r="A564" s="7"/>
      <c r="B564" s="7"/>
      <c r="C564" s="3"/>
      <c r="D564" s="2"/>
      <c r="E564" s="3"/>
      <c r="F564" s="3"/>
      <c r="G564" s="3"/>
      <c r="H564" s="3"/>
      <c r="I564" s="6"/>
      <c r="J564" s="3"/>
      <c r="K564" s="7"/>
      <c r="L564" s="13" t="str">
        <f>IF(C564="","",IF(COUNTIFS(Parametry!$C$54:$C$113,E564)=1,INDEX(Parametry!$D$54:$D$113,MATCH(E564,Parametry!$C$54:$C$113,0)),""))</f>
        <v/>
      </c>
      <c r="M564" s="7">
        <f t="shared" si="24"/>
        <v>0</v>
      </c>
      <c r="N564" s="13">
        <f>IF(AND(ISNUMBER(D564),ISNUMBER(Parametry!$G$6)),IF(AND(YEAR(D564)=Parametry!$G$6,M564&lt;=Parametry!$G$7),1,0),0)</f>
        <v>0</v>
      </c>
      <c r="O564" s="13">
        <f>IF(C564="",IF(COUNTA(D564:J564)&gt;0,1,0),IF(OR(COUNTIFS($C$9:$C$1008,C564)&lt;&gt;1,NOT(ISNUMBER(D564)),NOT(ISNUMBER(I564)),L564="",AND(F564&lt;&gt;"",COUNTIFS(Umowy!$C$9:$C$108,F564,Umowy!$D$9:$D$108,L564)&lt;&gt;1)),1,0))</f>
        <v>0</v>
      </c>
      <c r="P564" s="7" t="str">
        <f t="shared" si="25"/>
        <v/>
      </c>
      <c r="Q564" s="7" t="str">
        <f t="shared" si="26"/>
        <v/>
      </c>
    </row>
    <row r="565" spans="1:17" ht="24" customHeight="1">
      <c r="A565" s="7"/>
      <c r="B565" s="7"/>
      <c r="C565" s="3"/>
      <c r="D565" s="2"/>
      <c r="E565" s="3"/>
      <c r="F565" s="3"/>
      <c r="G565" s="3"/>
      <c r="H565" s="3"/>
      <c r="I565" s="6"/>
      <c r="J565" s="3"/>
      <c r="K565" s="7"/>
      <c r="L565" s="13" t="str">
        <f>IF(C565="","",IF(COUNTIFS(Parametry!$C$54:$C$113,E565)=1,INDEX(Parametry!$D$54:$D$113,MATCH(E565,Parametry!$C$54:$C$113,0)),""))</f>
        <v/>
      </c>
      <c r="M565" s="7">
        <f t="shared" si="24"/>
        <v>0</v>
      </c>
      <c r="N565" s="13">
        <f>IF(AND(ISNUMBER(D565),ISNUMBER(Parametry!$G$6)),IF(AND(YEAR(D565)=Parametry!$G$6,M565&lt;=Parametry!$G$7),1,0),0)</f>
        <v>0</v>
      </c>
      <c r="O565" s="13">
        <f>IF(C565="",IF(COUNTA(D565:J565)&gt;0,1,0),IF(OR(COUNTIFS($C$9:$C$1008,C565)&lt;&gt;1,NOT(ISNUMBER(D565)),NOT(ISNUMBER(I565)),L565="",AND(F565&lt;&gt;"",COUNTIFS(Umowy!$C$9:$C$108,F565,Umowy!$D$9:$D$108,L565)&lt;&gt;1)),1,0))</f>
        <v>0</v>
      </c>
      <c r="P565" s="7" t="str">
        <f t="shared" si="25"/>
        <v/>
      </c>
      <c r="Q565" s="7" t="str">
        <f t="shared" si="26"/>
        <v/>
      </c>
    </row>
    <row r="566" spans="1:17" ht="24" customHeight="1">
      <c r="A566" s="7"/>
      <c r="B566" s="7"/>
      <c r="C566" s="3"/>
      <c r="D566" s="2"/>
      <c r="E566" s="3"/>
      <c r="F566" s="3"/>
      <c r="G566" s="3"/>
      <c r="H566" s="3"/>
      <c r="I566" s="6"/>
      <c r="J566" s="3"/>
      <c r="K566" s="7"/>
      <c r="L566" s="13" t="str">
        <f>IF(C566="","",IF(COUNTIFS(Parametry!$C$54:$C$113,E566)=1,INDEX(Parametry!$D$54:$D$113,MATCH(E566,Parametry!$C$54:$C$113,0)),""))</f>
        <v/>
      </c>
      <c r="M566" s="7">
        <f t="shared" si="24"/>
        <v>0</v>
      </c>
      <c r="N566" s="13">
        <f>IF(AND(ISNUMBER(D566),ISNUMBER(Parametry!$G$6)),IF(AND(YEAR(D566)=Parametry!$G$6,M566&lt;=Parametry!$G$7),1,0),0)</f>
        <v>0</v>
      </c>
      <c r="O566" s="13">
        <f>IF(C566="",IF(COUNTA(D566:J566)&gt;0,1,0),IF(OR(COUNTIFS($C$9:$C$1008,C566)&lt;&gt;1,NOT(ISNUMBER(D566)),NOT(ISNUMBER(I566)),L566="",AND(F566&lt;&gt;"",COUNTIFS(Umowy!$C$9:$C$108,F566,Umowy!$D$9:$D$108,L566)&lt;&gt;1)),1,0))</f>
        <v>0</v>
      </c>
      <c r="P566" s="7" t="str">
        <f t="shared" si="25"/>
        <v/>
      </c>
      <c r="Q566" s="7" t="str">
        <f t="shared" si="26"/>
        <v/>
      </c>
    </row>
    <row r="567" spans="1:17" ht="24" customHeight="1">
      <c r="A567" s="7"/>
      <c r="B567" s="7"/>
      <c r="C567" s="3"/>
      <c r="D567" s="2"/>
      <c r="E567" s="3"/>
      <c r="F567" s="3"/>
      <c r="G567" s="3"/>
      <c r="H567" s="3"/>
      <c r="I567" s="6"/>
      <c r="J567" s="3"/>
      <c r="K567" s="7"/>
      <c r="L567" s="13" t="str">
        <f>IF(C567="","",IF(COUNTIFS(Parametry!$C$54:$C$113,E567)=1,INDEX(Parametry!$D$54:$D$113,MATCH(E567,Parametry!$C$54:$C$113,0)),""))</f>
        <v/>
      </c>
      <c r="M567" s="7">
        <f t="shared" si="24"/>
        <v>0</v>
      </c>
      <c r="N567" s="13">
        <f>IF(AND(ISNUMBER(D567),ISNUMBER(Parametry!$G$6)),IF(AND(YEAR(D567)=Parametry!$G$6,M567&lt;=Parametry!$G$7),1,0),0)</f>
        <v>0</v>
      </c>
      <c r="O567" s="13">
        <f>IF(C567="",IF(COUNTA(D567:J567)&gt;0,1,0),IF(OR(COUNTIFS($C$9:$C$1008,C567)&lt;&gt;1,NOT(ISNUMBER(D567)),NOT(ISNUMBER(I567)),L567="",AND(F567&lt;&gt;"",COUNTIFS(Umowy!$C$9:$C$108,F567,Umowy!$D$9:$D$108,L567)&lt;&gt;1)),1,0))</f>
        <v>0</v>
      </c>
      <c r="P567" s="7" t="str">
        <f t="shared" si="25"/>
        <v/>
      </c>
      <c r="Q567" s="7" t="str">
        <f t="shared" si="26"/>
        <v/>
      </c>
    </row>
    <row r="568" spans="1:17" ht="24" customHeight="1">
      <c r="A568" s="7"/>
      <c r="B568" s="7"/>
      <c r="C568" s="3"/>
      <c r="D568" s="2"/>
      <c r="E568" s="3"/>
      <c r="F568" s="3"/>
      <c r="G568" s="3"/>
      <c r="H568" s="3"/>
      <c r="I568" s="6"/>
      <c r="J568" s="3"/>
      <c r="K568" s="7"/>
      <c r="L568" s="13" t="str">
        <f>IF(C568="","",IF(COUNTIFS(Parametry!$C$54:$C$113,E568)=1,INDEX(Parametry!$D$54:$D$113,MATCH(E568,Parametry!$C$54:$C$113,0)),""))</f>
        <v/>
      </c>
      <c r="M568" s="7">
        <f t="shared" si="24"/>
        <v>0</v>
      </c>
      <c r="N568" s="13">
        <f>IF(AND(ISNUMBER(D568),ISNUMBER(Parametry!$G$6)),IF(AND(YEAR(D568)=Parametry!$G$6,M568&lt;=Parametry!$G$7),1,0),0)</f>
        <v>0</v>
      </c>
      <c r="O568" s="13">
        <f>IF(C568="",IF(COUNTA(D568:J568)&gt;0,1,0),IF(OR(COUNTIFS($C$9:$C$1008,C568)&lt;&gt;1,NOT(ISNUMBER(D568)),NOT(ISNUMBER(I568)),L568="",AND(F568&lt;&gt;"",COUNTIFS(Umowy!$C$9:$C$108,F568,Umowy!$D$9:$D$108,L568)&lt;&gt;1)),1,0))</f>
        <v>0</v>
      </c>
      <c r="P568" s="7" t="str">
        <f t="shared" si="25"/>
        <v/>
      </c>
      <c r="Q568" s="7" t="str">
        <f t="shared" si="26"/>
        <v/>
      </c>
    </row>
    <row r="569" spans="1:17" ht="24" customHeight="1">
      <c r="A569" s="7"/>
      <c r="B569" s="7"/>
      <c r="C569" s="3"/>
      <c r="D569" s="2"/>
      <c r="E569" s="3"/>
      <c r="F569" s="3"/>
      <c r="G569" s="3"/>
      <c r="H569" s="3"/>
      <c r="I569" s="6"/>
      <c r="J569" s="3"/>
      <c r="K569" s="7"/>
      <c r="L569" s="13" t="str">
        <f>IF(C569="","",IF(COUNTIFS(Parametry!$C$54:$C$113,E569)=1,INDEX(Parametry!$D$54:$D$113,MATCH(E569,Parametry!$C$54:$C$113,0)),""))</f>
        <v/>
      </c>
      <c r="M569" s="7">
        <f t="shared" si="24"/>
        <v>0</v>
      </c>
      <c r="N569" s="13">
        <f>IF(AND(ISNUMBER(D569),ISNUMBER(Parametry!$G$6)),IF(AND(YEAR(D569)=Parametry!$G$6,M569&lt;=Parametry!$G$7),1,0),0)</f>
        <v>0</v>
      </c>
      <c r="O569" s="13">
        <f>IF(C569="",IF(COUNTA(D569:J569)&gt;0,1,0),IF(OR(COUNTIFS($C$9:$C$1008,C569)&lt;&gt;1,NOT(ISNUMBER(D569)),NOT(ISNUMBER(I569)),L569="",AND(F569&lt;&gt;"",COUNTIFS(Umowy!$C$9:$C$108,F569,Umowy!$D$9:$D$108,L569)&lt;&gt;1)),1,0))</f>
        <v>0</v>
      </c>
      <c r="P569" s="7" t="str">
        <f t="shared" si="25"/>
        <v/>
      </c>
      <c r="Q569" s="7" t="str">
        <f t="shared" si="26"/>
        <v/>
      </c>
    </row>
    <row r="570" spans="1:17" ht="24" customHeight="1">
      <c r="A570" s="7"/>
      <c r="B570" s="7"/>
      <c r="C570" s="3"/>
      <c r="D570" s="2"/>
      <c r="E570" s="3"/>
      <c r="F570" s="3"/>
      <c r="G570" s="3"/>
      <c r="H570" s="3"/>
      <c r="I570" s="6"/>
      <c r="J570" s="3"/>
      <c r="K570" s="7"/>
      <c r="L570" s="13" t="str">
        <f>IF(C570="","",IF(COUNTIFS(Parametry!$C$54:$C$113,E570)=1,INDEX(Parametry!$D$54:$D$113,MATCH(E570,Parametry!$C$54:$C$113,0)),""))</f>
        <v/>
      </c>
      <c r="M570" s="7">
        <f t="shared" si="24"/>
        <v>0</v>
      </c>
      <c r="N570" s="13">
        <f>IF(AND(ISNUMBER(D570),ISNUMBER(Parametry!$G$6)),IF(AND(YEAR(D570)=Parametry!$G$6,M570&lt;=Parametry!$G$7),1,0),0)</f>
        <v>0</v>
      </c>
      <c r="O570" s="13">
        <f>IF(C570="",IF(COUNTA(D570:J570)&gt;0,1,0),IF(OR(COUNTIFS($C$9:$C$1008,C570)&lt;&gt;1,NOT(ISNUMBER(D570)),NOT(ISNUMBER(I570)),L570="",AND(F570&lt;&gt;"",COUNTIFS(Umowy!$C$9:$C$108,F570,Umowy!$D$9:$D$108,L570)&lt;&gt;1)),1,0))</f>
        <v>0</v>
      </c>
      <c r="P570" s="7" t="str">
        <f t="shared" si="25"/>
        <v/>
      </c>
      <c r="Q570" s="7" t="str">
        <f t="shared" si="26"/>
        <v/>
      </c>
    </row>
    <row r="571" spans="1:17" ht="24" customHeight="1">
      <c r="A571" s="7"/>
      <c r="B571" s="7"/>
      <c r="C571" s="3"/>
      <c r="D571" s="2"/>
      <c r="E571" s="3"/>
      <c r="F571" s="3"/>
      <c r="G571" s="3"/>
      <c r="H571" s="3"/>
      <c r="I571" s="6"/>
      <c r="J571" s="3"/>
      <c r="K571" s="7"/>
      <c r="L571" s="13" t="str">
        <f>IF(C571="","",IF(COUNTIFS(Parametry!$C$54:$C$113,E571)=1,INDEX(Parametry!$D$54:$D$113,MATCH(E571,Parametry!$C$54:$C$113,0)),""))</f>
        <v/>
      </c>
      <c r="M571" s="7">
        <f t="shared" si="24"/>
        <v>0</v>
      </c>
      <c r="N571" s="13">
        <f>IF(AND(ISNUMBER(D571),ISNUMBER(Parametry!$G$6)),IF(AND(YEAR(D571)=Parametry!$G$6,M571&lt;=Parametry!$G$7),1,0),0)</f>
        <v>0</v>
      </c>
      <c r="O571" s="13">
        <f>IF(C571="",IF(COUNTA(D571:J571)&gt;0,1,0),IF(OR(COUNTIFS($C$9:$C$1008,C571)&lt;&gt;1,NOT(ISNUMBER(D571)),NOT(ISNUMBER(I571)),L571="",AND(F571&lt;&gt;"",COUNTIFS(Umowy!$C$9:$C$108,F571,Umowy!$D$9:$D$108,L571)&lt;&gt;1)),1,0))</f>
        <v>0</v>
      </c>
      <c r="P571" s="7" t="str">
        <f t="shared" si="25"/>
        <v/>
      </c>
      <c r="Q571" s="7" t="str">
        <f t="shared" si="26"/>
        <v/>
      </c>
    </row>
    <row r="572" spans="1:17" ht="24" customHeight="1">
      <c r="A572" s="7"/>
      <c r="B572" s="7"/>
      <c r="C572" s="3"/>
      <c r="D572" s="2"/>
      <c r="E572" s="3"/>
      <c r="F572" s="3"/>
      <c r="G572" s="3"/>
      <c r="H572" s="3"/>
      <c r="I572" s="6"/>
      <c r="J572" s="3"/>
      <c r="K572" s="7"/>
      <c r="L572" s="13" t="str">
        <f>IF(C572="","",IF(COUNTIFS(Parametry!$C$54:$C$113,E572)=1,INDEX(Parametry!$D$54:$D$113,MATCH(E572,Parametry!$C$54:$C$113,0)),""))</f>
        <v/>
      </c>
      <c r="M572" s="7">
        <f t="shared" si="24"/>
        <v>0</v>
      </c>
      <c r="N572" s="13">
        <f>IF(AND(ISNUMBER(D572),ISNUMBER(Parametry!$G$6)),IF(AND(YEAR(D572)=Parametry!$G$6,M572&lt;=Parametry!$G$7),1,0),0)</f>
        <v>0</v>
      </c>
      <c r="O572" s="13">
        <f>IF(C572="",IF(COUNTA(D572:J572)&gt;0,1,0),IF(OR(COUNTIFS($C$9:$C$1008,C572)&lt;&gt;1,NOT(ISNUMBER(D572)),NOT(ISNUMBER(I572)),L572="",AND(F572&lt;&gt;"",COUNTIFS(Umowy!$C$9:$C$108,F572,Umowy!$D$9:$D$108,L572)&lt;&gt;1)),1,0))</f>
        <v>0</v>
      </c>
      <c r="P572" s="7" t="str">
        <f t="shared" si="25"/>
        <v/>
      </c>
      <c r="Q572" s="7" t="str">
        <f t="shared" si="26"/>
        <v/>
      </c>
    </row>
    <row r="573" spans="1:17" ht="24" customHeight="1">
      <c r="A573" s="7"/>
      <c r="B573" s="7"/>
      <c r="C573" s="3"/>
      <c r="D573" s="2"/>
      <c r="E573" s="3"/>
      <c r="F573" s="3"/>
      <c r="G573" s="3"/>
      <c r="H573" s="3"/>
      <c r="I573" s="6"/>
      <c r="J573" s="3"/>
      <c r="K573" s="7"/>
      <c r="L573" s="13" t="str">
        <f>IF(C573="","",IF(COUNTIFS(Parametry!$C$54:$C$113,E573)=1,INDEX(Parametry!$D$54:$D$113,MATCH(E573,Parametry!$C$54:$C$113,0)),""))</f>
        <v/>
      </c>
      <c r="M573" s="7">
        <f t="shared" si="24"/>
        <v>0</v>
      </c>
      <c r="N573" s="13">
        <f>IF(AND(ISNUMBER(D573),ISNUMBER(Parametry!$G$6)),IF(AND(YEAR(D573)=Parametry!$G$6,M573&lt;=Parametry!$G$7),1,0),0)</f>
        <v>0</v>
      </c>
      <c r="O573" s="13">
        <f>IF(C573="",IF(COUNTA(D573:J573)&gt;0,1,0),IF(OR(COUNTIFS($C$9:$C$1008,C573)&lt;&gt;1,NOT(ISNUMBER(D573)),NOT(ISNUMBER(I573)),L573="",AND(F573&lt;&gt;"",COUNTIFS(Umowy!$C$9:$C$108,F573,Umowy!$D$9:$D$108,L573)&lt;&gt;1)),1,0))</f>
        <v>0</v>
      </c>
      <c r="P573" s="7" t="str">
        <f t="shared" si="25"/>
        <v/>
      </c>
      <c r="Q573" s="7" t="str">
        <f t="shared" si="26"/>
        <v/>
      </c>
    </row>
    <row r="574" spans="1:17" ht="24" customHeight="1">
      <c r="A574" s="7"/>
      <c r="B574" s="7"/>
      <c r="C574" s="3"/>
      <c r="D574" s="2"/>
      <c r="E574" s="3"/>
      <c r="F574" s="3"/>
      <c r="G574" s="3"/>
      <c r="H574" s="3"/>
      <c r="I574" s="6"/>
      <c r="J574" s="3"/>
      <c r="K574" s="7"/>
      <c r="L574" s="13" t="str">
        <f>IF(C574="","",IF(COUNTIFS(Parametry!$C$54:$C$113,E574)=1,INDEX(Parametry!$D$54:$D$113,MATCH(E574,Parametry!$C$54:$C$113,0)),""))</f>
        <v/>
      </c>
      <c r="M574" s="7">
        <f t="shared" si="24"/>
        <v>0</v>
      </c>
      <c r="N574" s="13">
        <f>IF(AND(ISNUMBER(D574),ISNUMBER(Parametry!$G$6)),IF(AND(YEAR(D574)=Parametry!$G$6,M574&lt;=Parametry!$G$7),1,0),0)</f>
        <v>0</v>
      </c>
      <c r="O574" s="13">
        <f>IF(C574="",IF(COUNTA(D574:J574)&gt;0,1,0),IF(OR(COUNTIFS($C$9:$C$1008,C574)&lt;&gt;1,NOT(ISNUMBER(D574)),NOT(ISNUMBER(I574)),L574="",AND(F574&lt;&gt;"",COUNTIFS(Umowy!$C$9:$C$108,F574,Umowy!$D$9:$D$108,L574)&lt;&gt;1)),1,0))</f>
        <v>0</v>
      </c>
      <c r="P574" s="7" t="str">
        <f t="shared" si="25"/>
        <v/>
      </c>
      <c r="Q574" s="7" t="str">
        <f t="shared" si="26"/>
        <v/>
      </c>
    </row>
    <row r="575" spans="1:17" ht="24" customHeight="1">
      <c r="A575" s="7"/>
      <c r="B575" s="7"/>
      <c r="C575" s="3"/>
      <c r="D575" s="2"/>
      <c r="E575" s="3"/>
      <c r="F575" s="3"/>
      <c r="G575" s="3"/>
      <c r="H575" s="3"/>
      <c r="I575" s="6"/>
      <c r="J575" s="3"/>
      <c r="K575" s="7"/>
      <c r="L575" s="13" t="str">
        <f>IF(C575="","",IF(COUNTIFS(Parametry!$C$54:$C$113,E575)=1,INDEX(Parametry!$D$54:$D$113,MATCH(E575,Parametry!$C$54:$C$113,0)),""))</f>
        <v/>
      </c>
      <c r="M575" s="7">
        <f t="shared" si="24"/>
        <v>0</v>
      </c>
      <c r="N575" s="13">
        <f>IF(AND(ISNUMBER(D575),ISNUMBER(Parametry!$G$6)),IF(AND(YEAR(D575)=Parametry!$G$6,M575&lt;=Parametry!$G$7),1,0),0)</f>
        <v>0</v>
      </c>
      <c r="O575" s="13">
        <f>IF(C575="",IF(COUNTA(D575:J575)&gt;0,1,0),IF(OR(COUNTIFS($C$9:$C$1008,C575)&lt;&gt;1,NOT(ISNUMBER(D575)),NOT(ISNUMBER(I575)),L575="",AND(F575&lt;&gt;"",COUNTIFS(Umowy!$C$9:$C$108,F575,Umowy!$D$9:$D$108,L575)&lt;&gt;1)),1,0))</f>
        <v>0</v>
      </c>
      <c r="P575" s="7" t="str">
        <f t="shared" si="25"/>
        <v/>
      </c>
      <c r="Q575" s="7" t="str">
        <f t="shared" si="26"/>
        <v/>
      </c>
    </row>
    <row r="576" spans="1:17" ht="24" customHeight="1">
      <c r="A576" s="7"/>
      <c r="B576" s="7"/>
      <c r="C576" s="3"/>
      <c r="D576" s="2"/>
      <c r="E576" s="3"/>
      <c r="F576" s="3"/>
      <c r="G576" s="3"/>
      <c r="H576" s="3"/>
      <c r="I576" s="6"/>
      <c r="J576" s="3"/>
      <c r="K576" s="7"/>
      <c r="L576" s="13" t="str">
        <f>IF(C576="","",IF(COUNTIFS(Parametry!$C$54:$C$113,E576)=1,INDEX(Parametry!$D$54:$D$113,MATCH(E576,Parametry!$C$54:$C$113,0)),""))</f>
        <v/>
      </c>
      <c r="M576" s="7">
        <f t="shared" si="24"/>
        <v>0</v>
      </c>
      <c r="N576" s="13">
        <f>IF(AND(ISNUMBER(D576),ISNUMBER(Parametry!$G$6)),IF(AND(YEAR(D576)=Parametry!$G$6,M576&lt;=Parametry!$G$7),1,0),0)</f>
        <v>0</v>
      </c>
      <c r="O576" s="13">
        <f>IF(C576="",IF(COUNTA(D576:J576)&gt;0,1,0),IF(OR(COUNTIFS($C$9:$C$1008,C576)&lt;&gt;1,NOT(ISNUMBER(D576)),NOT(ISNUMBER(I576)),L576="",AND(F576&lt;&gt;"",COUNTIFS(Umowy!$C$9:$C$108,F576,Umowy!$D$9:$D$108,L576)&lt;&gt;1)),1,0))</f>
        <v>0</v>
      </c>
      <c r="P576" s="7" t="str">
        <f t="shared" si="25"/>
        <v/>
      </c>
      <c r="Q576" s="7" t="str">
        <f t="shared" si="26"/>
        <v/>
      </c>
    </row>
    <row r="577" spans="1:17" ht="24" customHeight="1">
      <c r="A577" s="7"/>
      <c r="B577" s="7"/>
      <c r="C577" s="3"/>
      <c r="D577" s="2"/>
      <c r="E577" s="3"/>
      <c r="F577" s="3"/>
      <c r="G577" s="3"/>
      <c r="H577" s="3"/>
      <c r="I577" s="6"/>
      <c r="J577" s="3"/>
      <c r="K577" s="7"/>
      <c r="L577" s="13" t="str">
        <f>IF(C577="","",IF(COUNTIFS(Parametry!$C$54:$C$113,E577)=1,INDEX(Parametry!$D$54:$D$113,MATCH(E577,Parametry!$C$54:$C$113,0)),""))</f>
        <v/>
      </c>
      <c r="M577" s="7">
        <f t="shared" si="24"/>
        <v>0</v>
      </c>
      <c r="N577" s="13">
        <f>IF(AND(ISNUMBER(D577),ISNUMBER(Parametry!$G$6)),IF(AND(YEAR(D577)=Parametry!$G$6,M577&lt;=Parametry!$G$7),1,0),0)</f>
        <v>0</v>
      </c>
      <c r="O577" s="13">
        <f>IF(C577="",IF(COUNTA(D577:J577)&gt;0,1,0),IF(OR(COUNTIFS($C$9:$C$1008,C577)&lt;&gt;1,NOT(ISNUMBER(D577)),NOT(ISNUMBER(I577)),L577="",AND(F577&lt;&gt;"",COUNTIFS(Umowy!$C$9:$C$108,F577,Umowy!$D$9:$D$108,L577)&lt;&gt;1)),1,0))</f>
        <v>0</v>
      </c>
      <c r="P577" s="7" t="str">
        <f t="shared" si="25"/>
        <v/>
      </c>
      <c r="Q577" s="7" t="str">
        <f t="shared" si="26"/>
        <v/>
      </c>
    </row>
    <row r="578" spans="1:17" ht="24" customHeight="1">
      <c r="A578" s="7"/>
      <c r="B578" s="7"/>
      <c r="C578" s="3"/>
      <c r="D578" s="2"/>
      <c r="E578" s="3"/>
      <c r="F578" s="3"/>
      <c r="G578" s="3"/>
      <c r="H578" s="3"/>
      <c r="I578" s="6"/>
      <c r="J578" s="3"/>
      <c r="K578" s="7"/>
      <c r="L578" s="13" t="str">
        <f>IF(C578="","",IF(COUNTIFS(Parametry!$C$54:$C$113,E578)=1,INDEX(Parametry!$D$54:$D$113,MATCH(E578,Parametry!$C$54:$C$113,0)),""))</f>
        <v/>
      </c>
      <c r="M578" s="7">
        <f t="shared" si="24"/>
        <v>0</v>
      </c>
      <c r="N578" s="13">
        <f>IF(AND(ISNUMBER(D578),ISNUMBER(Parametry!$G$6)),IF(AND(YEAR(D578)=Parametry!$G$6,M578&lt;=Parametry!$G$7),1,0),0)</f>
        <v>0</v>
      </c>
      <c r="O578" s="13">
        <f>IF(C578="",IF(COUNTA(D578:J578)&gt;0,1,0),IF(OR(COUNTIFS($C$9:$C$1008,C578)&lt;&gt;1,NOT(ISNUMBER(D578)),NOT(ISNUMBER(I578)),L578="",AND(F578&lt;&gt;"",COUNTIFS(Umowy!$C$9:$C$108,F578,Umowy!$D$9:$D$108,L578)&lt;&gt;1)),1,0))</f>
        <v>0</v>
      </c>
      <c r="P578" s="7" t="str">
        <f t="shared" si="25"/>
        <v/>
      </c>
      <c r="Q578" s="7" t="str">
        <f t="shared" si="26"/>
        <v/>
      </c>
    </row>
    <row r="579" spans="1:17" ht="24" customHeight="1">
      <c r="A579" s="7"/>
      <c r="B579" s="7"/>
      <c r="C579" s="3"/>
      <c r="D579" s="2"/>
      <c r="E579" s="3"/>
      <c r="F579" s="3"/>
      <c r="G579" s="3"/>
      <c r="H579" s="3"/>
      <c r="I579" s="6"/>
      <c r="J579" s="3"/>
      <c r="K579" s="7"/>
      <c r="L579" s="13" t="str">
        <f>IF(C579="","",IF(COUNTIFS(Parametry!$C$54:$C$113,E579)=1,INDEX(Parametry!$D$54:$D$113,MATCH(E579,Parametry!$C$54:$C$113,0)),""))</f>
        <v/>
      </c>
      <c r="M579" s="7">
        <f t="shared" si="24"/>
        <v>0</v>
      </c>
      <c r="N579" s="13">
        <f>IF(AND(ISNUMBER(D579),ISNUMBER(Parametry!$G$6)),IF(AND(YEAR(D579)=Parametry!$G$6,M579&lt;=Parametry!$G$7),1,0),0)</f>
        <v>0</v>
      </c>
      <c r="O579" s="13">
        <f>IF(C579="",IF(COUNTA(D579:J579)&gt;0,1,0),IF(OR(COUNTIFS($C$9:$C$1008,C579)&lt;&gt;1,NOT(ISNUMBER(D579)),NOT(ISNUMBER(I579)),L579="",AND(F579&lt;&gt;"",COUNTIFS(Umowy!$C$9:$C$108,F579,Umowy!$D$9:$D$108,L579)&lt;&gt;1)),1,0))</f>
        <v>0</v>
      </c>
      <c r="P579" s="7" t="str">
        <f t="shared" si="25"/>
        <v/>
      </c>
      <c r="Q579" s="7" t="str">
        <f t="shared" si="26"/>
        <v/>
      </c>
    </row>
    <row r="580" spans="1:17" ht="24" customHeight="1">
      <c r="A580" s="7"/>
      <c r="B580" s="7"/>
      <c r="C580" s="3"/>
      <c r="D580" s="2"/>
      <c r="E580" s="3"/>
      <c r="F580" s="3"/>
      <c r="G580" s="3"/>
      <c r="H580" s="3"/>
      <c r="I580" s="6"/>
      <c r="J580" s="3"/>
      <c r="K580" s="7"/>
      <c r="L580" s="13" t="str">
        <f>IF(C580="","",IF(COUNTIFS(Parametry!$C$54:$C$113,E580)=1,INDEX(Parametry!$D$54:$D$113,MATCH(E580,Parametry!$C$54:$C$113,0)),""))</f>
        <v/>
      </c>
      <c r="M580" s="7">
        <f t="shared" si="24"/>
        <v>0</v>
      </c>
      <c r="N580" s="13">
        <f>IF(AND(ISNUMBER(D580),ISNUMBER(Parametry!$G$6)),IF(AND(YEAR(D580)=Parametry!$G$6,M580&lt;=Parametry!$G$7),1,0),0)</f>
        <v>0</v>
      </c>
      <c r="O580" s="13">
        <f>IF(C580="",IF(COUNTA(D580:J580)&gt;0,1,0),IF(OR(COUNTIFS($C$9:$C$1008,C580)&lt;&gt;1,NOT(ISNUMBER(D580)),NOT(ISNUMBER(I580)),L580="",AND(F580&lt;&gt;"",COUNTIFS(Umowy!$C$9:$C$108,F580,Umowy!$D$9:$D$108,L580)&lt;&gt;1)),1,0))</f>
        <v>0</v>
      </c>
      <c r="P580" s="7" t="str">
        <f t="shared" si="25"/>
        <v/>
      </c>
      <c r="Q580" s="7" t="str">
        <f t="shared" si="26"/>
        <v/>
      </c>
    </row>
    <row r="581" spans="1:17" ht="24" customHeight="1">
      <c r="A581" s="7"/>
      <c r="B581" s="7"/>
      <c r="C581" s="3"/>
      <c r="D581" s="2"/>
      <c r="E581" s="3"/>
      <c r="F581" s="3"/>
      <c r="G581" s="3"/>
      <c r="H581" s="3"/>
      <c r="I581" s="6"/>
      <c r="J581" s="3"/>
      <c r="K581" s="7"/>
      <c r="L581" s="13" t="str">
        <f>IF(C581="","",IF(COUNTIFS(Parametry!$C$54:$C$113,E581)=1,INDEX(Parametry!$D$54:$D$113,MATCH(E581,Parametry!$C$54:$C$113,0)),""))</f>
        <v/>
      </c>
      <c r="M581" s="7">
        <f t="shared" si="24"/>
        <v>0</v>
      </c>
      <c r="N581" s="13">
        <f>IF(AND(ISNUMBER(D581),ISNUMBER(Parametry!$G$6)),IF(AND(YEAR(D581)=Parametry!$G$6,M581&lt;=Parametry!$G$7),1,0),0)</f>
        <v>0</v>
      </c>
      <c r="O581" s="13">
        <f>IF(C581="",IF(COUNTA(D581:J581)&gt;0,1,0),IF(OR(COUNTIFS($C$9:$C$1008,C581)&lt;&gt;1,NOT(ISNUMBER(D581)),NOT(ISNUMBER(I581)),L581="",AND(F581&lt;&gt;"",COUNTIFS(Umowy!$C$9:$C$108,F581,Umowy!$D$9:$D$108,L581)&lt;&gt;1)),1,0))</f>
        <v>0</v>
      </c>
      <c r="P581" s="7" t="str">
        <f t="shared" si="25"/>
        <v/>
      </c>
      <c r="Q581" s="7" t="str">
        <f t="shared" si="26"/>
        <v/>
      </c>
    </row>
    <row r="582" spans="1:17" ht="24" customHeight="1">
      <c r="A582" s="7"/>
      <c r="B582" s="7"/>
      <c r="C582" s="3"/>
      <c r="D582" s="2"/>
      <c r="E582" s="3"/>
      <c r="F582" s="3"/>
      <c r="G582" s="3"/>
      <c r="H582" s="3"/>
      <c r="I582" s="6"/>
      <c r="J582" s="3"/>
      <c r="K582" s="7"/>
      <c r="L582" s="13" t="str">
        <f>IF(C582="","",IF(COUNTIFS(Parametry!$C$54:$C$113,E582)=1,INDEX(Parametry!$D$54:$D$113,MATCH(E582,Parametry!$C$54:$C$113,0)),""))</f>
        <v/>
      </c>
      <c r="M582" s="7">
        <f t="shared" si="24"/>
        <v>0</v>
      </c>
      <c r="N582" s="13">
        <f>IF(AND(ISNUMBER(D582),ISNUMBER(Parametry!$G$6)),IF(AND(YEAR(D582)=Parametry!$G$6,M582&lt;=Parametry!$G$7),1,0),0)</f>
        <v>0</v>
      </c>
      <c r="O582" s="13">
        <f>IF(C582="",IF(COUNTA(D582:J582)&gt;0,1,0),IF(OR(COUNTIFS($C$9:$C$1008,C582)&lt;&gt;1,NOT(ISNUMBER(D582)),NOT(ISNUMBER(I582)),L582="",AND(F582&lt;&gt;"",COUNTIFS(Umowy!$C$9:$C$108,F582,Umowy!$D$9:$D$108,L582)&lt;&gt;1)),1,0))</f>
        <v>0</v>
      </c>
      <c r="P582" s="7" t="str">
        <f t="shared" si="25"/>
        <v/>
      </c>
      <c r="Q582" s="7" t="str">
        <f t="shared" si="26"/>
        <v/>
      </c>
    </row>
    <row r="583" spans="1:17" ht="24" customHeight="1">
      <c r="A583" s="7"/>
      <c r="B583" s="7"/>
      <c r="C583" s="3"/>
      <c r="D583" s="2"/>
      <c r="E583" s="3"/>
      <c r="F583" s="3"/>
      <c r="G583" s="3"/>
      <c r="H583" s="3"/>
      <c r="I583" s="6"/>
      <c r="J583" s="3"/>
      <c r="K583" s="7"/>
      <c r="L583" s="13" t="str">
        <f>IF(C583="","",IF(COUNTIFS(Parametry!$C$54:$C$113,E583)=1,INDEX(Parametry!$D$54:$D$113,MATCH(E583,Parametry!$C$54:$C$113,0)),""))</f>
        <v/>
      </c>
      <c r="M583" s="7">
        <f t="shared" si="24"/>
        <v>0</v>
      </c>
      <c r="N583" s="13">
        <f>IF(AND(ISNUMBER(D583),ISNUMBER(Parametry!$G$6)),IF(AND(YEAR(D583)=Parametry!$G$6,M583&lt;=Parametry!$G$7),1,0),0)</f>
        <v>0</v>
      </c>
      <c r="O583" s="13">
        <f>IF(C583="",IF(COUNTA(D583:J583)&gt;0,1,0),IF(OR(COUNTIFS($C$9:$C$1008,C583)&lt;&gt;1,NOT(ISNUMBER(D583)),NOT(ISNUMBER(I583)),L583="",AND(F583&lt;&gt;"",COUNTIFS(Umowy!$C$9:$C$108,F583,Umowy!$D$9:$D$108,L583)&lt;&gt;1)),1,0))</f>
        <v>0</v>
      </c>
      <c r="P583" s="7" t="str">
        <f t="shared" si="25"/>
        <v/>
      </c>
      <c r="Q583" s="7" t="str">
        <f t="shared" si="26"/>
        <v/>
      </c>
    </row>
    <row r="584" spans="1:17" ht="24" customHeight="1">
      <c r="A584" s="7"/>
      <c r="B584" s="7"/>
      <c r="C584" s="3"/>
      <c r="D584" s="2"/>
      <c r="E584" s="3"/>
      <c r="F584" s="3"/>
      <c r="G584" s="3"/>
      <c r="H584" s="3"/>
      <c r="I584" s="6"/>
      <c r="J584" s="3"/>
      <c r="K584" s="7"/>
      <c r="L584" s="13" t="str">
        <f>IF(C584="","",IF(COUNTIFS(Parametry!$C$54:$C$113,E584)=1,INDEX(Parametry!$D$54:$D$113,MATCH(E584,Parametry!$C$54:$C$113,0)),""))</f>
        <v/>
      </c>
      <c r="M584" s="7">
        <f t="shared" si="24"/>
        <v>0</v>
      </c>
      <c r="N584" s="13">
        <f>IF(AND(ISNUMBER(D584),ISNUMBER(Parametry!$G$6)),IF(AND(YEAR(D584)=Parametry!$G$6,M584&lt;=Parametry!$G$7),1,0),0)</f>
        <v>0</v>
      </c>
      <c r="O584" s="13">
        <f>IF(C584="",IF(COUNTA(D584:J584)&gt;0,1,0),IF(OR(COUNTIFS($C$9:$C$1008,C584)&lt;&gt;1,NOT(ISNUMBER(D584)),NOT(ISNUMBER(I584)),L584="",AND(F584&lt;&gt;"",COUNTIFS(Umowy!$C$9:$C$108,F584,Umowy!$D$9:$D$108,L584)&lt;&gt;1)),1,0))</f>
        <v>0</v>
      </c>
      <c r="P584" s="7" t="str">
        <f t="shared" si="25"/>
        <v/>
      </c>
      <c r="Q584" s="7" t="str">
        <f t="shared" si="26"/>
        <v/>
      </c>
    </row>
    <row r="585" spans="1:17" ht="24" customHeight="1">
      <c r="A585" s="7"/>
      <c r="B585" s="7"/>
      <c r="C585" s="3"/>
      <c r="D585" s="2"/>
      <c r="E585" s="3"/>
      <c r="F585" s="3"/>
      <c r="G585" s="3"/>
      <c r="H585" s="3"/>
      <c r="I585" s="6"/>
      <c r="J585" s="3"/>
      <c r="K585" s="7"/>
      <c r="L585" s="13" t="str">
        <f>IF(C585="","",IF(COUNTIFS(Parametry!$C$54:$C$113,E585)=1,INDEX(Parametry!$D$54:$D$113,MATCH(E585,Parametry!$C$54:$C$113,0)),""))</f>
        <v/>
      </c>
      <c r="M585" s="7">
        <f t="shared" ref="M585:M648" si="27">IF(ISNUMBER(D585),MONTH(D585),0)</f>
        <v>0</v>
      </c>
      <c r="N585" s="13">
        <f>IF(AND(ISNUMBER(D585),ISNUMBER(Parametry!$G$6)),IF(AND(YEAR(D585)=Parametry!$G$6,M585&lt;=Parametry!$G$7),1,0),0)</f>
        <v>0</v>
      </c>
      <c r="O585" s="13">
        <f>IF(C585="",IF(COUNTA(D585:J585)&gt;0,1,0),IF(OR(COUNTIFS($C$9:$C$1008,C585)&lt;&gt;1,NOT(ISNUMBER(D585)),NOT(ISNUMBER(I585)),L585="",AND(F585&lt;&gt;"",COUNTIFS(Umowy!$C$9:$C$108,F585,Umowy!$D$9:$D$108,L585)&lt;&gt;1)),1,0))</f>
        <v>0</v>
      </c>
      <c r="P585" s="7" t="str">
        <f t="shared" ref="P585:P648" si="28">IF(O585=0,"",IF(C585="","Missing RowID",IF(COUNTIFS($C$9:$C$1008,C585)&lt;&gt;1,"Duplicate RowID",IF(L585="","Unmapped ERPKey",IF(NOT(ISNUMBER(D585)),"Invalid Date",IF(NOT(ISNUMBER(I585)),"Invalid AmountPLN","CommitmentID / BudgetID"))))))</f>
        <v/>
      </c>
      <c r="Q585" s="7" t="str">
        <f t="shared" ref="Q585:Q648" si="29">IF(C585="","",IF(N585=1,"","Nie ujęto w wykonaniu okresu"))</f>
        <v/>
      </c>
    </row>
    <row r="586" spans="1:17" ht="24" customHeight="1">
      <c r="A586" s="7"/>
      <c r="B586" s="7"/>
      <c r="C586" s="3"/>
      <c r="D586" s="2"/>
      <c r="E586" s="3"/>
      <c r="F586" s="3"/>
      <c r="G586" s="3"/>
      <c r="H586" s="3"/>
      <c r="I586" s="6"/>
      <c r="J586" s="3"/>
      <c r="K586" s="7"/>
      <c r="L586" s="13" t="str">
        <f>IF(C586="","",IF(COUNTIFS(Parametry!$C$54:$C$113,E586)=1,INDEX(Parametry!$D$54:$D$113,MATCH(E586,Parametry!$C$54:$C$113,0)),""))</f>
        <v/>
      </c>
      <c r="M586" s="7">
        <f t="shared" si="27"/>
        <v>0</v>
      </c>
      <c r="N586" s="13">
        <f>IF(AND(ISNUMBER(D586),ISNUMBER(Parametry!$G$6)),IF(AND(YEAR(D586)=Parametry!$G$6,M586&lt;=Parametry!$G$7),1,0),0)</f>
        <v>0</v>
      </c>
      <c r="O586" s="13">
        <f>IF(C586="",IF(COUNTA(D586:J586)&gt;0,1,0),IF(OR(COUNTIFS($C$9:$C$1008,C586)&lt;&gt;1,NOT(ISNUMBER(D586)),NOT(ISNUMBER(I586)),L586="",AND(F586&lt;&gt;"",COUNTIFS(Umowy!$C$9:$C$108,F586,Umowy!$D$9:$D$108,L586)&lt;&gt;1)),1,0))</f>
        <v>0</v>
      </c>
      <c r="P586" s="7" t="str">
        <f t="shared" si="28"/>
        <v/>
      </c>
      <c r="Q586" s="7" t="str">
        <f t="shared" si="29"/>
        <v/>
      </c>
    </row>
    <row r="587" spans="1:17" ht="24" customHeight="1">
      <c r="A587" s="7"/>
      <c r="B587" s="7"/>
      <c r="C587" s="3"/>
      <c r="D587" s="2"/>
      <c r="E587" s="3"/>
      <c r="F587" s="3"/>
      <c r="G587" s="3"/>
      <c r="H587" s="3"/>
      <c r="I587" s="6"/>
      <c r="J587" s="3"/>
      <c r="K587" s="7"/>
      <c r="L587" s="13" t="str">
        <f>IF(C587="","",IF(COUNTIFS(Parametry!$C$54:$C$113,E587)=1,INDEX(Parametry!$D$54:$D$113,MATCH(E587,Parametry!$C$54:$C$113,0)),""))</f>
        <v/>
      </c>
      <c r="M587" s="7">
        <f t="shared" si="27"/>
        <v>0</v>
      </c>
      <c r="N587" s="13">
        <f>IF(AND(ISNUMBER(D587),ISNUMBER(Parametry!$G$6)),IF(AND(YEAR(D587)=Parametry!$G$6,M587&lt;=Parametry!$G$7),1,0),0)</f>
        <v>0</v>
      </c>
      <c r="O587" s="13">
        <f>IF(C587="",IF(COUNTA(D587:J587)&gt;0,1,0),IF(OR(COUNTIFS($C$9:$C$1008,C587)&lt;&gt;1,NOT(ISNUMBER(D587)),NOT(ISNUMBER(I587)),L587="",AND(F587&lt;&gt;"",COUNTIFS(Umowy!$C$9:$C$108,F587,Umowy!$D$9:$D$108,L587)&lt;&gt;1)),1,0))</f>
        <v>0</v>
      </c>
      <c r="P587" s="7" t="str">
        <f t="shared" si="28"/>
        <v/>
      </c>
      <c r="Q587" s="7" t="str">
        <f t="shared" si="29"/>
        <v/>
      </c>
    </row>
    <row r="588" spans="1:17" ht="24" customHeight="1">
      <c r="A588" s="7"/>
      <c r="B588" s="7"/>
      <c r="C588" s="3"/>
      <c r="D588" s="2"/>
      <c r="E588" s="3"/>
      <c r="F588" s="3"/>
      <c r="G588" s="3"/>
      <c r="H588" s="3"/>
      <c r="I588" s="6"/>
      <c r="J588" s="3"/>
      <c r="K588" s="7"/>
      <c r="L588" s="13" t="str">
        <f>IF(C588="","",IF(COUNTIFS(Parametry!$C$54:$C$113,E588)=1,INDEX(Parametry!$D$54:$D$113,MATCH(E588,Parametry!$C$54:$C$113,0)),""))</f>
        <v/>
      </c>
      <c r="M588" s="7">
        <f t="shared" si="27"/>
        <v>0</v>
      </c>
      <c r="N588" s="13">
        <f>IF(AND(ISNUMBER(D588),ISNUMBER(Parametry!$G$6)),IF(AND(YEAR(D588)=Parametry!$G$6,M588&lt;=Parametry!$G$7),1,0),0)</f>
        <v>0</v>
      </c>
      <c r="O588" s="13">
        <f>IF(C588="",IF(COUNTA(D588:J588)&gt;0,1,0),IF(OR(COUNTIFS($C$9:$C$1008,C588)&lt;&gt;1,NOT(ISNUMBER(D588)),NOT(ISNUMBER(I588)),L588="",AND(F588&lt;&gt;"",COUNTIFS(Umowy!$C$9:$C$108,F588,Umowy!$D$9:$D$108,L588)&lt;&gt;1)),1,0))</f>
        <v>0</v>
      </c>
      <c r="P588" s="7" t="str">
        <f t="shared" si="28"/>
        <v/>
      </c>
      <c r="Q588" s="7" t="str">
        <f t="shared" si="29"/>
        <v/>
      </c>
    </row>
    <row r="589" spans="1:17" ht="24" customHeight="1">
      <c r="A589" s="7"/>
      <c r="B589" s="7"/>
      <c r="C589" s="3"/>
      <c r="D589" s="2"/>
      <c r="E589" s="3"/>
      <c r="F589" s="3"/>
      <c r="G589" s="3"/>
      <c r="H589" s="3"/>
      <c r="I589" s="6"/>
      <c r="J589" s="3"/>
      <c r="K589" s="7"/>
      <c r="L589" s="13" t="str">
        <f>IF(C589="","",IF(COUNTIFS(Parametry!$C$54:$C$113,E589)=1,INDEX(Parametry!$D$54:$D$113,MATCH(E589,Parametry!$C$54:$C$113,0)),""))</f>
        <v/>
      </c>
      <c r="M589" s="7">
        <f t="shared" si="27"/>
        <v>0</v>
      </c>
      <c r="N589" s="13">
        <f>IF(AND(ISNUMBER(D589),ISNUMBER(Parametry!$G$6)),IF(AND(YEAR(D589)=Parametry!$G$6,M589&lt;=Parametry!$G$7),1,0),0)</f>
        <v>0</v>
      </c>
      <c r="O589" s="13">
        <f>IF(C589="",IF(COUNTA(D589:J589)&gt;0,1,0),IF(OR(COUNTIFS($C$9:$C$1008,C589)&lt;&gt;1,NOT(ISNUMBER(D589)),NOT(ISNUMBER(I589)),L589="",AND(F589&lt;&gt;"",COUNTIFS(Umowy!$C$9:$C$108,F589,Umowy!$D$9:$D$108,L589)&lt;&gt;1)),1,0))</f>
        <v>0</v>
      </c>
      <c r="P589" s="7" t="str">
        <f t="shared" si="28"/>
        <v/>
      </c>
      <c r="Q589" s="7" t="str">
        <f t="shared" si="29"/>
        <v/>
      </c>
    </row>
    <row r="590" spans="1:17" ht="24" customHeight="1">
      <c r="A590" s="7"/>
      <c r="B590" s="7"/>
      <c r="C590" s="3"/>
      <c r="D590" s="2"/>
      <c r="E590" s="3"/>
      <c r="F590" s="3"/>
      <c r="G590" s="3"/>
      <c r="H590" s="3"/>
      <c r="I590" s="6"/>
      <c r="J590" s="3"/>
      <c r="K590" s="7"/>
      <c r="L590" s="13" t="str">
        <f>IF(C590="","",IF(COUNTIFS(Parametry!$C$54:$C$113,E590)=1,INDEX(Parametry!$D$54:$D$113,MATCH(E590,Parametry!$C$54:$C$113,0)),""))</f>
        <v/>
      </c>
      <c r="M590" s="7">
        <f t="shared" si="27"/>
        <v>0</v>
      </c>
      <c r="N590" s="13">
        <f>IF(AND(ISNUMBER(D590),ISNUMBER(Parametry!$G$6)),IF(AND(YEAR(D590)=Parametry!$G$6,M590&lt;=Parametry!$G$7),1,0),0)</f>
        <v>0</v>
      </c>
      <c r="O590" s="13">
        <f>IF(C590="",IF(COUNTA(D590:J590)&gt;0,1,0),IF(OR(COUNTIFS($C$9:$C$1008,C590)&lt;&gt;1,NOT(ISNUMBER(D590)),NOT(ISNUMBER(I590)),L590="",AND(F590&lt;&gt;"",COUNTIFS(Umowy!$C$9:$C$108,F590,Umowy!$D$9:$D$108,L590)&lt;&gt;1)),1,0))</f>
        <v>0</v>
      </c>
      <c r="P590" s="7" t="str">
        <f t="shared" si="28"/>
        <v/>
      </c>
      <c r="Q590" s="7" t="str">
        <f t="shared" si="29"/>
        <v/>
      </c>
    </row>
    <row r="591" spans="1:17" ht="24" customHeight="1">
      <c r="A591" s="7"/>
      <c r="B591" s="7"/>
      <c r="C591" s="3"/>
      <c r="D591" s="2"/>
      <c r="E591" s="3"/>
      <c r="F591" s="3"/>
      <c r="G591" s="3"/>
      <c r="H591" s="3"/>
      <c r="I591" s="6"/>
      <c r="J591" s="3"/>
      <c r="K591" s="7"/>
      <c r="L591" s="13" t="str">
        <f>IF(C591="","",IF(COUNTIFS(Parametry!$C$54:$C$113,E591)=1,INDEX(Parametry!$D$54:$D$113,MATCH(E591,Parametry!$C$54:$C$113,0)),""))</f>
        <v/>
      </c>
      <c r="M591" s="7">
        <f t="shared" si="27"/>
        <v>0</v>
      </c>
      <c r="N591" s="13">
        <f>IF(AND(ISNUMBER(D591),ISNUMBER(Parametry!$G$6)),IF(AND(YEAR(D591)=Parametry!$G$6,M591&lt;=Parametry!$G$7),1,0),0)</f>
        <v>0</v>
      </c>
      <c r="O591" s="13">
        <f>IF(C591="",IF(COUNTA(D591:J591)&gt;0,1,0),IF(OR(COUNTIFS($C$9:$C$1008,C591)&lt;&gt;1,NOT(ISNUMBER(D591)),NOT(ISNUMBER(I591)),L591="",AND(F591&lt;&gt;"",COUNTIFS(Umowy!$C$9:$C$108,F591,Umowy!$D$9:$D$108,L591)&lt;&gt;1)),1,0))</f>
        <v>0</v>
      </c>
      <c r="P591" s="7" t="str">
        <f t="shared" si="28"/>
        <v/>
      </c>
      <c r="Q591" s="7" t="str">
        <f t="shared" si="29"/>
        <v/>
      </c>
    </row>
    <row r="592" spans="1:17" ht="24" customHeight="1">
      <c r="A592" s="7"/>
      <c r="B592" s="7"/>
      <c r="C592" s="3"/>
      <c r="D592" s="2"/>
      <c r="E592" s="3"/>
      <c r="F592" s="3"/>
      <c r="G592" s="3"/>
      <c r="H592" s="3"/>
      <c r="I592" s="6"/>
      <c r="J592" s="3"/>
      <c r="K592" s="7"/>
      <c r="L592" s="13" t="str">
        <f>IF(C592="","",IF(COUNTIFS(Parametry!$C$54:$C$113,E592)=1,INDEX(Parametry!$D$54:$D$113,MATCH(E592,Parametry!$C$54:$C$113,0)),""))</f>
        <v/>
      </c>
      <c r="M592" s="7">
        <f t="shared" si="27"/>
        <v>0</v>
      </c>
      <c r="N592" s="13">
        <f>IF(AND(ISNUMBER(D592),ISNUMBER(Parametry!$G$6)),IF(AND(YEAR(D592)=Parametry!$G$6,M592&lt;=Parametry!$G$7),1,0),0)</f>
        <v>0</v>
      </c>
      <c r="O592" s="13">
        <f>IF(C592="",IF(COUNTA(D592:J592)&gt;0,1,0),IF(OR(COUNTIFS($C$9:$C$1008,C592)&lt;&gt;1,NOT(ISNUMBER(D592)),NOT(ISNUMBER(I592)),L592="",AND(F592&lt;&gt;"",COUNTIFS(Umowy!$C$9:$C$108,F592,Umowy!$D$9:$D$108,L592)&lt;&gt;1)),1,0))</f>
        <v>0</v>
      </c>
      <c r="P592" s="7" t="str">
        <f t="shared" si="28"/>
        <v/>
      </c>
      <c r="Q592" s="7" t="str">
        <f t="shared" si="29"/>
        <v/>
      </c>
    </row>
    <row r="593" spans="1:17" ht="24" customHeight="1">
      <c r="A593" s="7"/>
      <c r="B593" s="7"/>
      <c r="C593" s="3"/>
      <c r="D593" s="2"/>
      <c r="E593" s="3"/>
      <c r="F593" s="3"/>
      <c r="G593" s="3"/>
      <c r="H593" s="3"/>
      <c r="I593" s="6"/>
      <c r="J593" s="3"/>
      <c r="K593" s="7"/>
      <c r="L593" s="13" t="str">
        <f>IF(C593="","",IF(COUNTIFS(Parametry!$C$54:$C$113,E593)=1,INDEX(Parametry!$D$54:$D$113,MATCH(E593,Parametry!$C$54:$C$113,0)),""))</f>
        <v/>
      </c>
      <c r="M593" s="7">
        <f t="shared" si="27"/>
        <v>0</v>
      </c>
      <c r="N593" s="13">
        <f>IF(AND(ISNUMBER(D593),ISNUMBER(Parametry!$G$6)),IF(AND(YEAR(D593)=Parametry!$G$6,M593&lt;=Parametry!$G$7),1,0),0)</f>
        <v>0</v>
      </c>
      <c r="O593" s="13">
        <f>IF(C593="",IF(COUNTA(D593:J593)&gt;0,1,0),IF(OR(COUNTIFS($C$9:$C$1008,C593)&lt;&gt;1,NOT(ISNUMBER(D593)),NOT(ISNUMBER(I593)),L593="",AND(F593&lt;&gt;"",COUNTIFS(Umowy!$C$9:$C$108,F593,Umowy!$D$9:$D$108,L593)&lt;&gt;1)),1,0))</f>
        <v>0</v>
      </c>
      <c r="P593" s="7" t="str">
        <f t="shared" si="28"/>
        <v/>
      </c>
      <c r="Q593" s="7" t="str">
        <f t="shared" si="29"/>
        <v/>
      </c>
    </row>
    <row r="594" spans="1:17" ht="24" customHeight="1">
      <c r="A594" s="7"/>
      <c r="B594" s="7"/>
      <c r="C594" s="3"/>
      <c r="D594" s="2"/>
      <c r="E594" s="3"/>
      <c r="F594" s="3"/>
      <c r="G594" s="3"/>
      <c r="H594" s="3"/>
      <c r="I594" s="6"/>
      <c r="J594" s="3"/>
      <c r="K594" s="7"/>
      <c r="L594" s="13" t="str">
        <f>IF(C594="","",IF(COUNTIFS(Parametry!$C$54:$C$113,E594)=1,INDEX(Parametry!$D$54:$D$113,MATCH(E594,Parametry!$C$54:$C$113,0)),""))</f>
        <v/>
      </c>
      <c r="M594" s="7">
        <f t="shared" si="27"/>
        <v>0</v>
      </c>
      <c r="N594" s="13">
        <f>IF(AND(ISNUMBER(D594),ISNUMBER(Parametry!$G$6)),IF(AND(YEAR(D594)=Parametry!$G$6,M594&lt;=Parametry!$G$7),1,0),0)</f>
        <v>0</v>
      </c>
      <c r="O594" s="13">
        <f>IF(C594="",IF(COUNTA(D594:J594)&gt;0,1,0),IF(OR(COUNTIFS($C$9:$C$1008,C594)&lt;&gt;1,NOT(ISNUMBER(D594)),NOT(ISNUMBER(I594)),L594="",AND(F594&lt;&gt;"",COUNTIFS(Umowy!$C$9:$C$108,F594,Umowy!$D$9:$D$108,L594)&lt;&gt;1)),1,0))</f>
        <v>0</v>
      </c>
      <c r="P594" s="7" t="str">
        <f t="shared" si="28"/>
        <v/>
      </c>
      <c r="Q594" s="7" t="str">
        <f t="shared" si="29"/>
        <v/>
      </c>
    </row>
    <row r="595" spans="1:17" ht="24" customHeight="1">
      <c r="A595" s="7"/>
      <c r="B595" s="7"/>
      <c r="C595" s="3"/>
      <c r="D595" s="2"/>
      <c r="E595" s="3"/>
      <c r="F595" s="3"/>
      <c r="G595" s="3"/>
      <c r="H595" s="3"/>
      <c r="I595" s="6"/>
      <c r="J595" s="3"/>
      <c r="K595" s="7"/>
      <c r="L595" s="13" t="str">
        <f>IF(C595="","",IF(COUNTIFS(Parametry!$C$54:$C$113,E595)=1,INDEX(Parametry!$D$54:$D$113,MATCH(E595,Parametry!$C$54:$C$113,0)),""))</f>
        <v/>
      </c>
      <c r="M595" s="7">
        <f t="shared" si="27"/>
        <v>0</v>
      </c>
      <c r="N595" s="13">
        <f>IF(AND(ISNUMBER(D595),ISNUMBER(Parametry!$G$6)),IF(AND(YEAR(D595)=Parametry!$G$6,M595&lt;=Parametry!$G$7),1,0),0)</f>
        <v>0</v>
      </c>
      <c r="O595" s="13">
        <f>IF(C595="",IF(COUNTA(D595:J595)&gt;0,1,0),IF(OR(COUNTIFS($C$9:$C$1008,C595)&lt;&gt;1,NOT(ISNUMBER(D595)),NOT(ISNUMBER(I595)),L595="",AND(F595&lt;&gt;"",COUNTIFS(Umowy!$C$9:$C$108,F595,Umowy!$D$9:$D$108,L595)&lt;&gt;1)),1,0))</f>
        <v>0</v>
      </c>
      <c r="P595" s="7" t="str">
        <f t="shared" si="28"/>
        <v/>
      </c>
      <c r="Q595" s="7" t="str">
        <f t="shared" si="29"/>
        <v/>
      </c>
    </row>
    <row r="596" spans="1:17" ht="24" customHeight="1">
      <c r="A596" s="7"/>
      <c r="B596" s="7"/>
      <c r="C596" s="3"/>
      <c r="D596" s="2"/>
      <c r="E596" s="3"/>
      <c r="F596" s="3"/>
      <c r="G596" s="3"/>
      <c r="H596" s="3"/>
      <c r="I596" s="6"/>
      <c r="J596" s="3"/>
      <c r="K596" s="7"/>
      <c r="L596" s="13" t="str">
        <f>IF(C596="","",IF(COUNTIFS(Parametry!$C$54:$C$113,E596)=1,INDEX(Parametry!$D$54:$D$113,MATCH(E596,Parametry!$C$54:$C$113,0)),""))</f>
        <v/>
      </c>
      <c r="M596" s="7">
        <f t="shared" si="27"/>
        <v>0</v>
      </c>
      <c r="N596" s="13">
        <f>IF(AND(ISNUMBER(D596),ISNUMBER(Parametry!$G$6)),IF(AND(YEAR(D596)=Parametry!$G$6,M596&lt;=Parametry!$G$7),1,0),0)</f>
        <v>0</v>
      </c>
      <c r="O596" s="13">
        <f>IF(C596="",IF(COUNTA(D596:J596)&gt;0,1,0),IF(OR(COUNTIFS($C$9:$C$1008,C596)&lt;&gt;1,NOT(ISNUMBER(D596)),NOT(ISNUMBER(I596)),L596="",AND(F596&lt;&gt;"",COUNTIFS(Umowy!$C$9:$C$108,F596,Umowy!$D$9:$D$108,L596)&lt;&gt;1)),1,0))</f>
        <v>0</v>
      </c>
      <c r="P596" s="7" t="str">
        <f t="shared" si="28"/>
        <v/>
      </c>
      <c r="Q596" s="7" t="str">
        <f t="shared" si="29"/>
        <v/>
      </c>
    </row>
    <row r="597" spans="1:17" ht="24" customHeight="1">
      <c r="A597" s="7"/>
      <c r="B597" s="7"/>
      <c r="C597" s="3"/>
      <c r="D597" s="2"/>
      <c r="E597" s="3"/>
      <c r="F597" s="3"/>
      <c r="G597" s="3"/>
      <c r="H597" s="3"/>
      <c r="I597" s="6"/>
      <c r="J597" s="3"/>
      <c r="K597" s="7"/>
      <c r="L597" s="13" t="str">
        <f>IF(C597="","",IF(COUNTIFS(Parametry!$C$54:$C$113,E597)=1,INDEX(Parametry!$D$54:$D$113,MATCH(E597,Parametry!$C$54:$C$113,0)),""))</f>
        <v/>
      </c>
      <c r="M597" s="7">
        <f t="shared" si="27"/>
        <v>0</v>
      </c>
      <c r="N597" s="13">
        <f>IF(AND(ISNUMBER(D597),ISNUMBER(Parametry!$G$6)),IF(AND(YEAR(D597)=Parametry!$G$6,M597&lt;=Parametry!$G$7),1,0),0)</f>
        <v>0</v>
      </c>
      <c r="O597" s="13">
        <f>IF(C597="",IF(COUNTA(D597:J597)&gt;0,1,0),IF(OR(COUNTIFS($C$9:$C$1008,C597)&lt;&gt;1,NOT(ISNUMBER(D597)),NOT(ISNUMBER(I597)),L597="",AND(F597&lt;&gt;"",COUNTIFS(Umowy!$C$9:$C$108,F597,Umowy!$D$9:$D$108,L597)&lt;&gt;1)),1,0))</f>
        <v>0</v>
      </c>
      <c r="P597" s="7" t="str">
        <f t="shared" si="28"/>
        <v/>
      </c>
      <c r="Q597" s="7" t="str">
        <f t="shared" si="29"/>
        <v/>
      </c>
    </row>
    <row r="598" spans="1:17" ht="24" customHeight="1">
      <c r="A598" s="7"/>
      <c r="B598" s="7"/>
      <c r="C598" s="3"/>
      <c r="D598" s="2"/>
      <c r="E598" s="3"/>
      <c r="F598" s="3"/>
      <c r="G598" s="3"/>
      <c r="H598" s="3"/>
      <c r="I598" s="6"/>
      <c r="J598" s="3"/>
      <c r="K598" s="7"/>
      <c r="L598" s="13" t="str">
        <f>IF(C598="","",IF(COUNTIFS(Parametry!$C$54:$C$113,E598)=1,INDEX(Parametry!$D$54:$D$113,MATCH(E598,Parametry!$C$54:$C$113,0)),""))</f>
        <v/>
      </c>
      <c r="M598" s="7">
        <f t="shared" si="27"/>
        <v>0</v>
      </c>
      <c r="N598" s="13">
        <f>IF(AND(ISNUMBER(D598),ISNUMBER(Parametry!$G$6)),IF(AND(YEAR(D598)=Parametry!$G$6,M598&lt;=Parametry!$G$7),1,0),0)</f>
        <v>0</v>
      </c>
      <c r="O598" s="13">
        <f>IF(C598="",IF(COUNTA(D598:J598)&gt;0,1,0),IF(OR(COUNTIFS($C$9:$C$1008,C598)&lt;&gt;1,NOT(ISNUMBER(D598)),NOT(ISNUMBER(I598)),L598="",AND(F598&lt;&gt;"",COUNTIFS(Umowy!$C$9:$C$108,F598,Umowy!$D$9:$D$108,L598)&lt;&gt;1)),1,0))</f>
        <v>0</v>
      </c>
      <c r="P598" s="7" t="str">
        <f t="shared" si="28"/>
        <v/>
      </c>
      <c r="Q598" s="7" t="str">
        <f t="shared" si="29"/>
        <v/>
      </c>
    </row>
    <row r="599" spans="1:17" ht="24" customHeight="1">
      <c r="A599" s="7"/>
      <c r="B599" s="7"/>
      <c r="C599" s="3"/>
      <c r="D599" s="2"/>
      <c r="E599" s="3"/>
      <c r="F599" s="3"/>
      <c r="G599" s="3"/>
      <c r="H599" s="3"/>
      <c r="I599" s="6"/>
      <c r="J599" s="3"/>
      <c r="K599" s="7"/>
      <c r="L599" s="13" t="str">
        <f>IF(C599="","",IF(COUNTIFS(Parametry!$C$54:$C$113,E599)=1,INDEX(Parametry!$D$54:$D$113,MATCH(E599,Parametry!$C$54:$C$113,0)),""))</f>
        <v/>
      </c>
      <c r="M599" s="7">
        <f t="shared" si="27"/>
        <v>0</v>
      </c>
      <c r="N599" s="13">
        <f>IF(AND(ISNUMBER(D599),ISNUMBER(Parametry!$G$6)),IF(AND(YEAR(D599)=Parametry!$G$6,M599&lt;=Parametry!$G$7),1,0),0)</f>
        <v>0</v>
      </c>
      <c r="O599" s="13">
        <f>IF(C599="",IF(COUNTA(D599:J599)&gt;0,1,0),IF(OR(COUNTIFS($C$9:$C$1008,C599)&lt;&gt;1,NOT(ISNUMBER(D599)),NOT(ISNUMBER(I599)),L599="",AND(F599&lt;&gt;"",COUNTIFS(Umowy!$C$9:$C$108,F599,Umowy!$D$9:$D$108,L599)&lt;&gt;1)),1,0))</f>
        <v>0</v>
      </c>
      <c r="P599" s="7" t="str">
        <f t="shared" si="28"/>
        <v/>
      </c>
      <c r="Q599" s="7" t="str">
        <f t="shared" si="29"/>
        <v/>
      </c>
    </row>
    <row r="600" spans="1:17" ht="24" customHeight="1">
      <c r="A600" s="7"/>
      <c r="B600" s="7"/>
      <c r="C600" s="3"/>
      <c r="D600" s="2"/>
      <c r="E600" s="3"/>
      <c r="F600" s="3"/>
      <c r="G600" s="3"/>
      <c r="H600" s="3"/>
      <c r="I600" s="6"/>
      <c r="J600" s="3"/>
      <c r="K600" s="7"/>
      <c r="L600" s="13" t="str">
        <f>IF(C600="","",IF(COUNTIFS(Parametry!$C$54:$C$113,E600)=1,INDEX(Parametry!$D$54:$D$113,MATCH(E600,Parametry!$C$54:$C$113,0)),""))</f>
        <v/>
      </c>
      <c r="M600" s="7">
        <f t="shared" si="27"/>
        <v>0</v>
      </c>
      <c r="N600" s="13">
        <f>IF(AND(ISNUMBER(D600),ISNUMBER(Parametry!$G$6)),IF(AND(YEAR(D600)=Parametry!$G$6,M600&lt;=Parametry!$G$7),1,0),0)</f>
        <v>0</v>
      </c>
      <c r="O600" s="13">
        <f>IF(C600="",IF(COUNTA(D600:J600)&gt;0,1,0),IF(OR(COUNTIFS($C$9:$C$1008,C600)&lt;&gt;1,NOT(ISNUMBER(D600)),NOT(ISNUMBER(I600)),L600="",AND(F600&lt;&gt;"",COUNTIFS(Umowy!$C$9:$C$108,F600,Umowy!$D$9:$D$108,L600)&lt;&gt;1)),1,0))</f>
        <v>0</v>
      </c>
      <c r="P600" s="7" t="str">
        <f t="shared" si="28"/>
        <v/>
      </c>
      <c r="Q600" s="7" t="str">
        <f t="shared" si="29"/>
        <v/>
      </c>
    </row>
    <row r="601" spans="1:17" ht="24" customHeight="1">
      <c r="A601" s="7"/>
      <c r="B601" s="7"/>
      <c r="C601" s="3"/>
      <c r="D601" s="2"/>
      <c r="E601" s="3"/>
      <c r="F601" s="3"/>
      <c r="G601" s="3"/>
      <c r="H601" s="3"/>
      <c r="I601" s="6"/>
      <c r="J601" s="3"/>
      <c r="K601" s="7"/>
      <c r="L601" s="13" t="str">
        <f>IF(C601="","",IF(COUNTIFS(Parametry!$C$54:$C$113,E601)=1,INDEX(Parametry!$D$54:$D$113,MATCH(E601,Parametry!$C$54:$C$113,0)),""))</f>
        <v/>
      </c>
      <c r="M601" s="7">
        <f t="shared" si="27"/>
        <v>0</v>
      </c>
      <c r="N601" s="13">
        <f>IF(AND(ISNUMBER(D601),ISNUMBER(Parametry!$G$6)),IF(AND(YEAR(D601)=Parametry!$G$6,M601&lt;=Parametry!$G$7),1,0),0)</f>
        <v>0</v>
      </c>
      <c r="O601" s="13">
        <f>IF(C601="",IF(COUNTA(D601:J601)&gt;0,1,0),IF(OR(COUNTIFS($C$9:$C$1008,C601)&lt;&gt;1,NOT(ISNUMBER(D601)),NOT(ISNUMBER(I601)),L601="",AND(F601&lt;&gt;"",COUNTIFS(Umowy!$C$9:$C$108,F601,Umowy!$D$9:$D$108,L601)&lt;&gt;1)),1,0))</f>
        <v>0</v>
      </c>
      <c r="P601" s="7" t="str">
        <f t="shared" si="28"/>
        <v/>
      </c>
      <c r="Q601" s="7" t="str">
        <f t="shared" si="29"/>
        <v/>
      </c>
    </row>
    <row r="602" spans="1:17" ht="24" customHeight="1">
      <c r="A602" s="7"/>
      <c r="B602" s="7"/>
      <c r="C602" s="3"/>
      <c r="D602" s="2"/>
      <c r="E602" s="3"/>
      <c r="F602" s="3"/>
      <c r="G602" s="3"/>
      <c r="H602" s="3"/>
      <c r="I602" s="6"/>
      <c r="J602" s="3"/>
      <c r="K602" s="7"/>
      <c r="L602" s="13" t="str">
        <f>IF(C602="","",IF(COUNTIFS(Parametry!$C$54:$C$113,E602)=1,INDEX(Parametry!$D$54:$D$113,MATCH(E602,Parametry!$C$54:$C$113,0)),""))</f>
        <v/>
      </c>
      <c r="M602" s="7">
        <f t="shared" si="27"/>
        <v>0</v>
      </c>
      <c r="N602" s="13">
        <f>IF(AND(ISNUMBER(D602),ISNUMBER(Parametry!$G$6)),IF(AND(YEAR(D602)=Parametry!$G$6,M602&lt;=Parametry!$G$7),1,0),0)</f>
        <v>0</v>
      </c>
      <c r="O602" s="13">
        <f>IF(C602="",IF(COUNTA(D602:J602)&gt;0,1,0),IF(OR(COUNTIFS($C$9:$C$1008,C602)&lt;&gt;1,NOT(ISNUMBER(D602)),NOT(ISNUMBER(I602)),L602="",AND(F602&lt;&gt;"",COUNTIFS(Umowy!$C$9:$C$108,F602,Umowy!$D$9:$D$108,L602)&lt;&gt;1)),1,0))</f>
        <v>0</v>
      </c>
      <c r="P602" s="7" t="str">
        <f t="shared" si="28"/>
        <v/>
      </c>
      <c r="Q602" s="7" t="str">
        <f t="shared" si="29"/>
        <v/>
      </c>
    </row>
    <row r="603" spans="1:17" ht="24" customHeight="1">
      <c r="A603" s="7"/>
      <c r="B603" s="7"/>
      <c r="C603" s="3"/>
      <c r="D603" s="2"/>
      <c r="E603" s="3"/>
      <c r="F603" s="3"/>
      <c r="G603" s="3"/>
      <c r="H603" s="3"/>
      <c r="I603" s="6"/>
      <c r="J603" s="3"/>
      <c r="K603" s="7"/>
      <c r="L603" s="13" t="str">
        <f>IF(C603="","",IF(COUNTIFS(Parametry!$C$54:$C$113,E603)=1,INDEX(Parametry!$D$54:$D$113,MATCH(E603,Parametry!$C$54:$C$113,0)),""))</f>
        <v/>
      </c>
      <c r="M603" s="7">
        <f t="shared" si="27"/>
        <v>0</v>
      </c>
      <c r="N603" s="13">
        <f>IF(AND(ISNUMBER(D603),ISNUMBER(Parametry!$G$6)),IF(AND(YEAR(D603)=Parametry!$G$6,M603&lt;=Parametry!$G$7),1,0),0)</f>
        <v>0</v>
      </c>
      <c r="O603" s="13">
        <f>IF(C603="",IF(COUNTA(D603:J603)&gt;0,1,0),IF(OR(COUNTIFS($C$9:$C$1008,C603)&lt;&gt;1,NOT(ISNUMBER(D603)),NOT(ISNUMBER(I603)),L603="",AND(F603&lt;&gt;"",COUNTIFS(Umowy!$C$9:$C$108,F603,Umowy!$D$9:$D$108,L603)&lt;&gt;1)),1,0))</f>
        <v>0</v>
      </c>
      <c r="P603" s="7" t="str">
        <f t="shared" si="28"/>
        <v/>
      </c>
      <c r="Q603" s="7" t="str">
        <f t="shared" si="29"/>
        <v/>
      </c>
    </row>
    <row r="604" spans="1:17" ht="24" customHeight="1">
      <c r="A604" s="7"/>
      <c r="B604" s="7"/>
      <c r="C604" s="3"/>
      <c r="D604" s="2"/>
      <c r="E604" s="3"/>
      <c r="F604" s="3"/>
      <c r="G604" s="3"/>
      <c r="H604" s="3"/>
      <c r="I604" s="6"/>
      <c r="J604" s="3"/>
      <c r="K604" s="7"/>
      <c r="L604" s="13" t="str">
        <f>IF(C604="","",IF(COUNTIFS(Parametry!$C$54:$C$113,E604)=1,INDEX(Parametry!$D$54:$D$113,MATCH(E604,Parametry!$C$54:$C$113,0)),""))</f>
        <v/>
      </c>
      <c r="M604" s="7">
        <f t="shared" si="27"/>
        <v>0</v>
      </c>
      <c r="N604" s="13">
        <f>IF(AND(ISNUMBER(D604),ISNUMBER(Parametry!$G$6)),IF(AND(YEAR(D604)=Parametry!$G$6,M604&lt;=Parametry!$G$7),1,0),0)</f>
        <v>0</v>
      </c>
      <c r="O604" s="13">
        <f>IF(C604="",IF(COUNTA(D604:J604)&gt;0,1,0),IF(OR(COUNTIFS($C$9:$C$1008,C604)&lt;&gt;1,NOT(ISNUMBER(D604)),NOT(ISNUMBER(I604)),L604="",AND(F604&lt;&gt;"",COUNTIFS(Umowy!$C$9:$C$108,F604,Umowy!$D$9:$D$108,L604)&lt;&gt;1)),1,0))</f>
        <v>0</v>
      </c>
      <c r="P604" s="7" t="str">
        <f t="shared" si="28"/>
        <v/>
      </c>
      <c r="Q604" s="7" t="str">
        <f t="shared" si="29"/>
        <v/>
      </c>
    </row>
    <row r="605" spans="1:17" ht="24" customHeight="1">
      <c r="A605" s="7"/>
      <c r="B605" s="7"/>
      <c r="C605" s="3"/>
      <c r="D605" s="2"/>
      <c r="E605" s="3"/>
      <c r="F605" s="3"/>
      <c r="G605" s="3"/>
      <c r="H605" s="3"/>
      <c r="I605" s="6"/>
      <c r="J605" s="3"/>
      <c r="K605" s="7"/>
      <c r="L605" s="13" t="str">
        <f>IF(C605="","",IF(COUNTIFS(Parametry!$C$54:$C$113,E605)=1,INDEX(Parametry!$D$54:$D$113,MATCH(E605,Parametry!$C$54:$C$113,0)),""))</f>
        <v/>
      </c>
      <c r="M605" s="7">
        <f t="shared" si="27"/>
        <v>0</v>
      </c>
      <c r="N605" s="13">
        <f>IF(AND(ISNUMBER(D605),ISNUMBER(Parametry!$G$6)),IF(AND(YEAR(D605)=Parametry!$G$6,M605&lt;=Parametry!$G$7),1,0),0)</f>
        <v>0</v>
      </c>
      <c r="O605" s="13">
        <f>IF(C605="",IF(COUNTA(D605:J605)&gt;0,1,0),IF(OR(COUNTIFS($C$9:$C$1008,C605)&lt;&gt;1,NOT(ISNUMBER(D605)),NOT(ISNUMBER(I605)),L605="",AND(F605&lt;&gt;"",COUNTIFS(Umowy!$C$9:$C$108,F605,Umowy!$D$9:$D$108,L605)&lt;&gt;1)),1,0))</f>
        <v>0</v>
      </c>
      <c r="P605" s="7" t="str">
        <f t="shared" si="28"/>
        <v/>
      </c>
      <c r="Q605" s="7" t="str">
        <f t="shared" si="29"/>
        <v/>
      </c>
    </row>
    <row r="606" spans="1:17" ht="24" customHeight="1">
      <c r="A606" s="7"/>
      <c r="B606" s="7"/>
      <c r="C606" s="3"/>
      <c r="D606" s="2"/>
      <c r="E606" s="3"/>
      <c r="F606" s="3"/>
      <c r="G606" s="3"/>
      <c r="H606" s="3"/>
      <c r="I606" s="6"/>
      <c r="J606" s="3"/>
      <c r="K606" s="7"/>
      <c r="L606" s="13" t="str">
        <f>IF(C606="","",IF(COUNTIFS(Parametry!$C$54:$C$113,E606)=1,INDEX(Parametry!$D$54:$D$113,MATCH(E606,Parametry!$C$54:$C$113,0)),""))</f>
        <v/>
      </c>
      <c r="M606" s="7">
        <f t="shared" si="27"/>
        <v>0</v>
      </c>
      <c r="N606" s="13">
        <f>IF(AND(ISNUMBER(D606),ISNUMBER(Parametry!$G$6)),IF(AND(YEAR(D606)=Parametry!$G$6,M606&lt;=Parametry!$G$7),1,0),0)</f>
        <v>0</v>
      </c>
      <c r="O606" s="13">
        <f>IF(C606="",IF(COUNTA(D606:J606)&gt;0,1,0),IF(OR(COUNTIFS($C$9:$C$1008,C606)&lt;&gt;1,NOT(ISNUMBER(D606)),NOT(ISNUMBER(I606)),L606="",AND(F606&lt;&gt;"",COUNTIFS(Umowy!$C$9:$C$108,F606,Umowy!$D$9:$D$108,L606)&lt;&gt;1)),1,0))</f>
        <v>0</v>
      </c>
      <c r="P606" s="7" t="str">
        <f t="shared" si="28"/>
        <v/>
      </c>
      <c r="Q606" s="7" t="str">
        <f t="shared" si="29"/>
        <v/>
      </c>
    </row>
    <row r="607" spans="1:17" ht="24" customHeight="1">
      <c r="A607" s="7"/>
      <c r="B607" s="7"/>
      <c r="C607" s="3"/>
      <c r="D607" s="2"/>
      <c r="E607" s="3"/>
      <c r="F607" s="3"/>
      <c r="G607" s="3"/>
      <c r="H607" s="3"/>
      <c r="I607" s="6"/>
      <c r="J607" s="3"/>
      <c r="K607" s="7"/>
      <c r="L607" s="13" t="str">
        <f>IF(C607="","",IF(COUNTIFS(Parametry!$C$54:$C$113,E607)=1,INDEX(Parametry!$D$54:$D$113,MATCH(E607,Parametry!$C$54:$C$113,0)),""))</f>
        <v/>
      </c>
      <c r="M607" s="7">
        <f t="shared" si="27"/>
        <v>0</v>
      </c>
      <c r="N607" s="13">
        <f>IF(AND(ISNUMBER(D607),ISNUMBER(Parametry!$G$6)),IF(AND(YEAR(D607)=Parametry!$G$6,M607&lt;=Parametry!$G$7),1,0),0)</f>
        <v>0</v>
      </c>
      <c r="O607" s="13">
        <f>IF(C607="",IF(COUNTA(D607:J607)&gt;0,1,0),IF(OR(COUNTIFS($C$9:$C$1008,C607)&lt;&gt;1,NOT(ISNUMBER(D607)),NOT(ISNUMBER(I607)),L607="",AND(F607&lt;&gt;"",COUNTIFS(Umowy!$C$9:$C$108,F607,Umowy!$D$9:$D$108,L607)&lt;&gt;1)),1,0))</f>
        <v>0</v>
      </c>
      <c r="P607" s="7" t="str">
        <f t="shared" si="28"/>
        <v/>
      </c>
      <c r="Q607" s="7" t="str">
        <f t="shared" si="29"/>
        <v/>
      </c>
    </row>
    <row r="608" spans="1:17" ht="24" customHeight="1">
      <c r="A608" s="7"/>
      <c r="B608" s="7"/>
      <c r="C608" s="3"/>
      <c r="D608" s="2"/>
      <c r="E608" s="3"/>
      <c r="F608" s="3"/>
      <c r="G608" s="3"/>
      <c r="H608" s="3"/>
      <c r="I608" s="6"/>
      <c r="J608" s="3"/>
      <c r="K608" s="7"/>
      <c r="L608" s="13" t="str">
        <f>IF(C608="","",IF(COUNTIFS(Parametry!$C$54:$C$113,E608)=1,INDEX(Parametry!$D$54:$D$113,MATCH(E608,Parametry!$C$54:$C$113,0)),""))</f>
        <v/>
      </c>
      <c r="M608" s="7">
        <f t="shared" si="27"/>
        <v>0</v>
      </c>
      <c r="N608" s="13">
        <f>IF(AND(ISNUMBER(D608),ISNUMBER(Parametry!$G$6)),IF(AND(YEAR(D608)=Parametry!$G$6,M608&lt;=Parametry!$G$7),1,0),0)</f>
        <v>0</v>
      </c>
      <c r="O608" s="13">
        <f>IF(C608="",IF(COUNTA(D608:J608)&gt;0,1,0),IF(OR(COUNTIFS($C$9:$C$1008,C608)&lt;&gt;1,NOT(ISNUMBER(D608)),NOT(ISNUMBER(I608)),L608="",AND(F608&lt;&gt;"",COUNTIFS(Umowy!$C$9:$C$108,F608,Umowy!$D$9:$D$108,L608)&lt;&gt;1)),1,0))</f>
        <v>0</v>
      </c>
      <c r="P608" s="7" t="str">
        <f t="shared" si="28"/>
        <v/>
      </c>
      <c r="Q608" s="7" t="str">
        <f t="shared" si="29"/>
        <v/>
      </c>
    </row>
    <row r="609" spans="1:17" ht="24" customHeight="1">
      <c r="A609" s="7"/>
      <c r="B609" s="7"/>
      <c r="C609" s="3"/>
      <c r="D609" s="2"/>
      <c r="E609" s="3"/>
      <c r="F609" s="3"/>
      <c r="G609" s="3"/>
      <c r="H609" s="3"/>
      <c r="I609" s="6"/>
      <c r="J609" s="3"/>
      <c r="K609" s="7"/>
      <c r="L609" s="13" t="str">
        <f>IF(C609="","",IF(COUNTIFS(Parametry!$C$54:$C$113,E609)=1,INDEX(Parametry!$D$54:$D$113,MATCH(E609,Parametry!$C$54:$C$113,0)),""))</f>
        <v/>
      </c>
      <c r="M609" s="7">
        <f t="shared" si="27"/>
        <v>0</v>
      </c>
      <c r="N609" s="13">
        <f>IF(AND(ISNUMBER(D609),ISNUMBER(Parametry!$G$6)),IF(AND(YEAR(D609)=Parametry!$G$6,M609&lt;=Parametry!$G$7),1,0),0)</f>
        <v>0</v>
      </c>
      <c r="O609" s="13">
        <f>IF(C609="",IF(COUNTA(D609:J609)&gt;0,1,0),IF(OR(COUNTIFS($C$9:$C$1008,C609)&lt;&gt;1,NOT(ISNUMBER(D609)),NOT(ISNUMBER(I609)),L609="",AND(F609&lt;&gt;"",COUNTIFS(Umowy!$C$9:$C$108,F609,Umowy!$D$9:$D$108,L609)&lt;&gt;1)),1,0))</f>
        <v>0</v>
      </c>
      <c r="P609" s="7" t="str">
        <f t="shared" si="28"/>
        <v/>
      </c>
      <c r="Q609" s="7" t="str">
        <f t="shared" si="29"/>
        <v/>
      </c>
    </row>
    <row r="610" spans="1:17" ht="24" customHeight="1">
      <c r="A610" s="7"/>
      <c r="B610" s="7"/>
      <c r="C610" s="3"/>
      <c r="D610" s="2"/>
      <c r="E610" s="3"/>
      <c r="F610" s="3"/>
      <c r="G610" s="3"/>
      <c r="H610" s="3"/>
      <c r="I610" s="6"/>
      <c r="J610" s="3"/>
      <c r="K610" s="7"/>
      <c r="L610" s="13" t="str">
        <f>IF(C610="","",IF(COUNTIFS(Parametry!$C$54:$C$113,E610)=1,INDEX(Parametry!$D$54:$D$113,MATCH(E610,Parametry!$C$54:$C$113,0)),""))</f>
        <v/>
      </c>
      <c r="M610" s="7">
        <f t="shared" si="27"/>
        <v>0</v>
      </c>
      <c r="N610" s="13">
        <f>IF(AND(ISNUMBER(D610),ISNUMBER(Parametry!$G$6)),IF(AND(YEAR(D610)=Parametry!$G$6,M610&lt;=Parametry!$G$7),1,0),0)</f>
        <v>0</v>
      </c>
      <c r="O610" s="13">
        <f>IF(C610="",IF(COUNTA(D610:J610)&gt;0,1,0),IF(OR(COUNTIFS($C$9:$C$1008,C610)&lt;&gt;1,NOT(ISNUMBER(D610)),NOT(ISNUMBER(I610)),L610="",AND(F610&lt;&gt;"",COUNTIFS(Umowy!$C$9:$C$108,F610,Umowy!$D$9:$D$108,L610)&lt;&gt;1)),1,0))</f>
        <v>0</v>
      </c>
      <c r="P610" s="7" t="str">
        <f t="shared" si="28"/>
        <v/>
      </c>
      <c r="Q610" s="7" t="str">
        <f t="shared" si="29"/>
        <v/>
      </c>
    </row>
    <row r="611" spans="1:17" ht="24" customHeight="1">
      <c r="A611" s="7"/>
      <c r="B611" s="7"/>
      <c r="C611" s="3"/>
      <c r="D611" s="2"/>
      <c r="E611" s="3"/>
      <c r="F611" s="3"/>
      <c r="G611" s="3"/>
      <c r="H611" s="3"/>
      <c r="I611" s="6"/>
      <c r="J611" s="3"/>
      <c r="K611" s="7"/>
      <c r="L611" s="13" t="str">
        <f>IF(C611="","",IF(COUNTIFS(Parametry!$C$54:$C$113,E611)=1,INDEX(Parametry!$D$54:$D$113,MATCH(E611,Parametry!$C$54:$C$113,0)),""))</f>
        <v/>
      </c>
      <c r="M611" s="7">
        <f t="shared" si="27"/>
        <v>0</v>
      </c>
      <c r="N611" s="13">
        <f>IF(AND(ISNUMBER(D611),ISNUMBER(Parametry!$G$6)),IF(AND(YEAR(D611)=Parametry!$G$6,M611&lt;=Parametry!$G$7),1,0),0)</f>
        <v>0</v>
      </c>
      <c r="O611" s="13">
        <f>IF(C611="",IF(COUNTA(D611:J611)&gt;0,1,0),IF(OR(COUNTIFS($C$9:$C$1008,C611)&lt;&gt;1,NOT(ISNUMBER(D611)),NOT(ISNUMBER(I611)),L611="",AND(F611&lt;&gt;"",COUNTIFS(Umowy!$C$9:$C$108,F611,Umowy!$D$9:$D$108,L611)&lt;&gt;1)),1,0))</f>
        <v>0</v>
      </c>
      <c r="P611" s="7" t="str">
        <f t="shared" si="28"/>
        <v/>
      </c>
      <c r="Q611" s="7" t="str">
        <f t="shared" si="29"/>
        <v/>
      </c>
    </row>
    <row r="612" spans="1:17" ht="24" customHeight="1">
      <c r="A612" s="7"/>
      <c r="B612" s="7"/>
      <c r="C612" s="3"/>
      <c r="D612" s="2"/>
      <c r="E612" s="3"/>
      <c r="F612" s="3"/>
      <c r="G612" s="3"/>
      <c r="H612" s="3"/>
      <c r="I612" s="6"/>
      <c r="J612" s="3"/>
      <c r="K612" s="7"/>
      <c r="L612" s="13" t="str">
        <f>IF(C612="","",IF(COUNTIFS(Parametry!$C$54:$C$113,E612)=1,INDEX(Parametry!$D$54:$D$113,MATCH(E612,Parametry!$C$54:$C$113,0)),""))</f>
        <v/>
      </c>
      <c r="M612" s="7">
        <f t="shared" si="27"/>
        <v>0</v>
      </c>
      <c r="N612" s="13">
        <f>IF(AND(ISNUMBER(D612),ISNUMBER(Parametry!$G$6)),IF(AND(YEAR(D612)=Parametry!$G$6,M612&lt;=Parametry!$G$7),1,0),0)</f>
        <v>0</v>
      </c>
      <c r="O612" s="13">
        <f>IF(C612="",IF(COUNTA(D612:J612)&gt;0,1,0),IF(OR(COUNTIFS($C$9:$C$1008,C612)&lt;&gt;1,NOT(ISNUMBER(D612)),NOT(ISNUMBER(I612)),L612="",AND(F612&lt;&gt;"",COUNTIFS(Umowy!$C$9:$C$108,F612,Umowy!$D$9:$D$108,L612)&lt;&gt;1)),1,0))</f>
        <v>0</v>
      </c>
      <c r="P612" s="7" t="str">
        <f t="shared" si="28"/>
        <v/>
      </c>
      <c r="Q612" s="7" t="str">
        <f t="shared" si="29"/>
        <v/>
      </c>
    </row>
    <row r="613" spans="1:17" ht="24" customHeight="1">
      <c r="A613" s="7"/>
      <c r="B613" s="7"/>
      <c r="C613" s="3"/>
      <c r="D613" s="2"/>
      <c r="E613" s="3"/>
      <c r="F613" s="3"/>
      <c r="G613" s="3"/>
      <c r="H613" s="3"/>
      <c r="I613" s="6"/>
      <c r="J613" s="3"/>
      <c r="K613" s="7"/>
      <c r="L613" s="13" t="str">
        <f>IF(C613="","",IF(COUNTIFS(Parametry!$C$54:$C$113,E613)=1,INDEX(Parametry!$D$54:$D$113,MATCH(E613,Parametry!$C$54:$C$113,0)),""))</f>
        <v/>
      </c>
      <c r="M613" s="7">
        <f t="shared" si="27"/>
        <v>0</v>
      </c>
      <c r="N613" s="13">
        <f>IF(AND(ISNUMBER(D613),ISNUMBER(Parametry!$G$6)),IF(AND(YEAR(D613)=Parametry!$G$6,M613&lt;=Parametry!$G$7),1,0),0)</f>
        <v>0</v>
      </c>
      <c r="O613" s="13">
        <f>IF(C613="",IF(COUNTA(D613:J613)&gt;0,1,0),IF(OR(COUNTIFS($C$9:$C$1008,C613)&lt;&gt;1,NOT(ISNUMBER(D613)),NOT(ISNUMBER(I613)),L613="",AND(F613&lt;&gt;"",COUNTIFS(Umowy!$C$9:$C$108,F613,Umowy!$D$9:$D$108,L613)&lt;&gt;1)),1,0))</f>
        <v>0</v>
      </c>
      <c r="P613" s="7" t="str">
        <f t="shared" si="28"/>
        <v/>
      </c>
      <c r="Q613" s="7" t="str">
        <f t="shared" si="29"/>
        <v/>
      </c>
    </row>
    <row r="614" spans="1:17" ht="24" customHeight="1">
      <c r="A614" s="7"/>
      <c r="B614" s="7"/>
      <c r="C614" s="3"/>
      <c r="D614" s="2"/>
      <c r="E614" s="3"/>
      <c r="F614" s="3"/>
      <c r="G614" s="3"/>
      <c r="H614" s="3"/>
      <c r="I614" s="6"/>
      <c r="J614" s="3"/>
      <c r="K614" s="7"/>
      <c r="L614" s="13" t="str">
        <f>IF(C614="","",IF(COUNTIFS(Parametry!$C$54:$C$113,E614)=1,INDEX(Parametry!$D$54:$D$113,MATCH(E614,Parametry!$C$54:$C$113,0)),""))</f>
        <v/>
      </c>
      <c r="M614" s="7">
        <f t="shared" si="27"/>
        <v>0</v>
      </c>
      <c r="N614" s="13">
        <f>IF(AND(ISNUMBER(D614),ISNUMBER(Parametry!$G$6)),IF(AND(YEAR(D614)=Parametry!$G$6,M614&lt;=Parametry!$G$7),1,0),0)</f>
        <v>0</v>
      </c>
      <c r="O614" s="13">
        <f>IF(C614="",IF(COUNTA(D614:J614)&gt;0,1,0),IF(OR(COUNTIFS($C$9:$C$1008,C614)&lt;&gt;1,NOT(ISNUMBER(D614)),NOT(ISNUMBER(I614)),L614="",AND(F614&lt;&gt;"",COUNTIFS(Umowy!$C$9:$C$108,F614,Umowy!$D$9:$D$108,L614)&lt;&gt;1)),1,0))</f>
        <v>0</v>
      </c>
      <c r="P614" s="7" t="str">
        <f t="shared" si="28"/>
        <v/>
      </c>
      <c r="Q614" s="7" t="str">
        <f t="shared" si="29"/>
        <v/>
      </c>
    </row>
    <row r="615" spans="1:17" ht="24" customHeight="1">
      <c r="A615" s="7"/>
      <c r="B615" s="7"/>
      <c r="C615" s="3"/>
      <c r="D615" s="2"/>
      <c r="E615" s="3"/>
      <c r="F615" s="3"/>
      <c r="G615" s="3"/>
      <c r="H615" s="3"/>
      <c r="I615" s="6"/>
      <c r="J615" s="3"/>
      <c r="K615" s="7"/>
      <c r="L615" s="13" t="str">
        <f>IF(C615="","",IF(COUNTIFS(Parametry!$C$54:$C$113,E615)=1,INDEX(Parametry!$D$54:$D$113,MATCH(E615,Parametry!$C$54:$C$113,0)),""))</f>
        <v/>
      </c>
      <c r="M615" s="7">
        <f t="shared" si="27"/>
        <v>0</v>
      </c>
      <c r="N615" s="13">
        <f>IF(AND(ISNUMBER(D615),ISNUMBER(Parametry!$G$6)),IF(AND(YEAR(D615)=Parametry!$G$6,M615&lt;=Parametry!$G$7),1,0),0)</f>
        <v>0</v>
      </c>
      <c r="O615" s="13">
        <f>IF(C615="",IF(COUNTA(D615:J615)&gt;0,1,0),IF(OR(COUNTIFS($C$9:$C$1008,C615)&lt;&gt;1,NOT(ISNUMBER(D615)),NOT(ISNUMBER(I615)),L615="",AND(F615&lt;&gt;"",COUNTIFS(Umowy!$C$9:$C$108,F615,Umowy!$D$9:$D$108,L615)&lt;&gt;1)),1,0))</f>
        <v>0</v>
      </c>
      <c r="P615" s="7" t="str">
        <f t="shared" si="28"/>
        <v/>
      </c>
      <c r="Q615" s="7" t="str">
        <f t="shared" si="29"/>
        <v/>
      </c>
    </row>
    <row r="616" spans="1:17" ht="24" customHeight="1">
      <c r="A616" s="7"/>
      <c r="B616" s="7"/>
      <c r="C616" s="3"/>
      <c r="D616" s="2"/>
      <c r="E616" s="3"/>
      <c r="F616" s="3"/>
      <c r="G616" s="3"/>
      <c r="H616" s="3"/>
      <c r="I616" s="6"/>
      <c r="J616" s="3"/>
      <c r="K616" s="7"/>
      <c r="L616" s="13" t="str">
        <f>IF(C616="","",IF(COUNTIFS(Parametry!$C$54:$C$113,E616)=1,INDEX(Parametry!$D$54:$D$113,MATCH(E616,Parametry!$C$54:$C$113,0)),""))</f>
        <v/>
      </c>
      <c r="M616" s="7">
        <f t="shared" si="27"/>
        <v>0</v>
      </c>
      <c r="N616" s="13">
        <f>IF(AND(ISNUMBER(D616),ISNUMBER(Parametry!$G$6)),IF(AND(YEAR(D616)=Parametry!$G$6,M616&lt;=Parametry!$G$7),1,0),0)</f>
        <v>0</v>
      </c>
      <c r="O616" s="13">
        <f>IF(C616="",IF(COUNTA(D616:J616)&gt;0,1,0),IF(OR(COUNTIFS($C$9:$C$1008,C616)&lt;&gt;1,NOT(ISNUMBER(D616)),NOT(ISNUMBER(I616)),L616="",AND(F616&lt;&gt;"",COUNTIFS(Umowy!$C$9:$C$108,F616,Umowy!$D$9:$D$108,L616)&lt;&gt;1)),1,0))</f>
        <v>0</v>
      </c>
      <c r="P616" s="7" t="str">
        <f t="shared" si="28"/>
        <v/>
      </c>
      <c r="Q616" s="7" t="str">
        <f t="shared" si="29"/>
        <v/>
      </c>
    </row>
    <row r="617" spans="1:17" ht="24" customHeight="1">
      <c r="A617" s="7"/>
      <c r="B617" s="7"/>
      <c r="C617" s="3"/>
      <c r="D617" s="2"/>
      <c r="E617" s="3"/>
      <c r="F617" s="3"/>
      <c r="G617" s="3"/>
      <c r="H617" s="3"/>
      <c r="I617" s="6"/>
      <c r="J617" s="3"/>
      <c r="K617" s="7"/>
      <c r="L617" s="13" t="str">
        <f>IF(C617="","",IF(COUNTIFS(Parametry!$C$54:$C$113,E617)=1,INDEX(Parametry!$D$54:$D$113,MATCH(E617,Parametry!$C$54:$C$113,0)),""))</f>
        <v/>
      </c>
      <c r="M617" s="7">
        <f t="shared" si="27"/>
        <v>0</v>
      </c>
      <c r="N617" s="13">
        <f>IF(AND(ISNUMBER(D617),ISNUMBER(Parametry!$G$6)),IF(AND(YEAR(D617)=Parametry!$G$6,M617&lt;=Parametry!$G$7),1,0),0)</f>
        <v>0</v>
      </c>
      <c r="O617" s="13">
        <f>IF(C617="",IF(COUNTA(D617:J617)&gt;0,1,0),IF(OR(COUNTIFS($C$9:$C$1008,C617)&lt;&gt;1,NOT(ISNUMBER(D617)),NOT(ISNUMBER(I617)),L617="",AND(F617&lt;&gt;"",COUNTIFS(Umowy!$C$9:$C$108,F617,Umowy!$D$9:$D$108,L617)&lt;&gt;1)),1,0))</f>
        <v>0</v>
      </c>
      <c r="P617" s="7" t="str">
        <f t="shared" si="28"/>
        <v/>
      </c>
      <c r="Q617" s="7" t="str">
        <f t="shared" si="29"/>
        <v/>
      </c>
    </row>
    <row r="618" spans="1:17" ht="24" customHeight="1">
      <c r="A618" s="7"/>
      <c r="B618" s="7"/>
      <c r="C618" s="3"/>
      <c r="D618" s="2"/>
      <c r="E618" s="3"/>
      <c r="F618" s="3"/>
      <c r="G618" s="3"/>
      <c r="H618" s="3"/>
      <c r="I618" s="6"/>
      <c r="J618" s="3"/>
      <c r="K618" s="7"/>
      <c r="L618" s="13" t="str">
        <f>IF(C618="","",IF(COUNTIFS(Parametry!$C$54:$C$113,E618)=1,INDEX(Parametry!$D$54:$D$113,MATCH(E618,Parametry!$C$54:$C$113,0)),""))</f>
        <v/>
      </c>
      <c r="M618" s="7">
        <f t="shared" si="27"/>
        <v>0</v>
      </c>
      <c r="N618" s="13">
        <f>IF(AND(ISNUMBER(D618),ISNUMBER(Parametry!$G$6)),IF(AND(YEAR(D618)=Parametry!$G$6,M618&lt;=Parametry!$G$7),1,0),0)</f>
        <v>0</v>
      </c>
      <c r="O618" s="13">
        <f>IF(C618="",IF(COUNTA(D618:J618)&gt;0,1,0),IF(OR(COUNTIFS($C$9:$C$1008,C618)&lt;&gt;1,NOT(ISNUMBER(D618)),NOT(ISNUMBER(I618)),L618="",AND(F618&lt;&gt;"",COUNTIFS(Umowy!$C$9:$C$108,F618,Umowy!$D$9:$D$108,L618)&lt;&gt;1)),1,0))</f>
        <v>0</v>
      </c>
      <c r="P618" s="7" t="str">
        <f t="shared" si="28"/>
        <v/>
      </c>
      <c r="Q618" s="7" t="str">
        <f t="shared" si="29"/>
        <v/>
      </c>
    </row>
    <row r="619" spans="1:17" ht="24" customHeight="1">
      <c r="A619" s="7"/>
      <c r="B619" s="7"/>
      <c r="C619" s="3"/>
      <c r="D619" s="2"/>
      <c r="E619" s="3"/>
      <c r="F619" s="3"/>
      <c r="G619" s="3"/>
      <c r="H619" s="3"/>
      <c r="I619" s="6"/>
      <c r="J619" s="3"/>
      <c r="K619" s="7"/>
      <c r="L619" s="13" t="str">
        <f>IF(C619="","",IF(COUNTIFS(Parametry!$C$54:$C$113,E619)=1,INDEX(Parametry!$D$54:$D$113,MATCH(E619,Parametry!$C$54:$C$113,0)),""))</f>
        <v/>
      </c>
      <c r="M619" s="7">
        <f t="shared" si="27"/>
        <v>0</v>
      </c>
      <c r="N619" s="13">
        <f>IF(AND(ISNUMBER(D619),ISNUMBER(Parametry!$G$6)),IF(AND(YEAR(D619)=Parametry!$G$6,M619&lt;=Parametry!$G$7),1,0),0)</f>
        <v>0</v>
      </c>
      <c r="O619" s="13">
        <f>IF(C619="",IF(COUNTA(D619:J619)&gt;0,1,0),IF(OR(COUNTIFS($C$9:$C$1008,C619)&lt;&gt;1,NOT(ISNUMBER(D619)),NOT(ISNUMBER(I619)),L619="",AND(F619&lt;&gt;"",COUNTIFS(Umowy!$C$9:$C$108,F619,Umowy!$D$9:$D$108,L619)&lt;&gt;1)),1,0))</f>
        <v>0</v>
      </c>
      <c r="P619" s="7" t="str">
        <f t="shared" si="28"/>
        <v/>
      </c>
      <c r="Q619" s="7" t="str">
        <f t="shared" si="29"/>
        <v/>
      </c>
    </row>
    <row r="620" spans="1:17" ht="24" customHeight="1">
      <c r="A620" s="7"/>
      <c r="B620" s="7"/>
      <c r="C620" s="3"/>
      <c r="D620" s="2"/>
      <c r="E620" s="3"/>
      <c r="F620" s="3"/>
      <c r="G620" s="3"/>
      <c r="H620" s="3"/>
      <c r="I620" s="6"/>
      <c r="J620" s="3"/>
      <c r="K620" s="7"/>
      <c r="L620" s="13" t="str">
        <f>IF(C620="","",IF(COUNTIFS(Parametry!$C$54:$C$113,E620)=1,INDEX(Parametry!$D$54:$D$113,MATCH(E620,Parametry!$C$54:$C$113,0)),""))</f>
        <v/>
      </c>
      <c r="M620" s="7">
        <f t="shared" si="27"/>
        <v>0</v>
      </c>
      <c r="N620" s="13">
        <f>IF(AND(ISNUMBER(D620),ISNUMBER(Parametry!$G$6)),IF(AND(YEAR(D620)=Parametry!$G$6,M620&lt;=Parametry!$G$7),1,0),0)</f>
        <v>0</v>
      </c>
      <c r="O620" s="13">
        <f>IF(C620="",IF(COUNTA(D620:J620)&gt;0,1,0),IF(OR(COUNTIFS($C$9:$C$1008,C620)&lt;&gt;1,NOT(ISNUMBER(D620)),NOT(ISNUMBER(I620)),L620="",AND(F620&lt;&gt;"",COUNTIFS(Umowy!$C$9:$C$108,F620,Umowy!$D$9:$D$108,L620)&lt;&gt;1)),1,0))</f>
        <v>0</v>
      </c>
      <c r="P620" s="7" t="str">
        <f t="shared" si="28"/>
        <v/>
      </c>
      <c r="Q620" s="7" t="str">
        <f t="shared" si="29"/>
        <v/>
      </c>
    </row>
    <row r="621" spans="1:17" ht="24" customHeight="1">
      <c r="A621" s="7"/>
      <c r="B621" s="7"/>
      <c r="C621" s="3"/>
      <c r="D621" s="2"/>
      <c r="E621" s="3"/>
      <c r="F621" s="3"/>
      <c r="G621" s="3"/>
      <c r="H621" s="3"/>
      <c r="I621" s="6"/>
      <c r="J621" s="3"/>
      <c r="K621" s="7"/>
      <c r="L621" s="13" t="str">
        <f>IF(C621="","",IF(COUNTIFS(Parametry!$C$54:$C$113,E621)=1,INDEX(Parametry!$D$54:$D$113,MATCH(E621,Parametry!$C$54:$C$113,0)),""))</f>
        <v/>
      </c>
      <c r="M621" s="7">
        <f t="shared" si="27"/>
        <v>0</v>
      </c>
      <c r="N621" s="13">
        <f>IF(AND(ISNUMBER(D621),ISNUMBER(Parametry!$G$6)),IF(AND(YEAR(D621)=Parametry!$G$6,M621&lt;=Parametry!$G$7),1,0),0)</f>
        <v>0</v>
      </c>
      <c r="O621" s="13">
        <f>IF(C621="",IF(COUNTA(D621:J621)&gt;0,1,0),IF(OR(COUNTIFS($C$9:$C$1008,C621)&lt;&gt;1,NOT(ISNUMBER(D621)),NOT(ISNUMBER(I621)),L621="",AND(F621&lt;&gt;"",COUNTIFS(Umowy!$C$9:$C$108,F621,Umowy!$D$9:$D$108,L621)&lt;&gt;1)),1,0))</f>
        <v>0</v>
      </c>
      <c r="P621" s="7" t="str">
        <f t="shared" si="28"/>
        <v/>
      </c>
      <c r="Q621" s="7" t="str">
        <f t="shared" si="29"/>
        <v/>
      </c>
    </row>
    <row r="622" spans="1:17" ht="24" customHeight="1">
      <c r="A622" s="7"/>
      <c r="B622" s="7"/>
      <c r="C622" s="3"/>
      <c r="D622" s="2"/>
      <c r="E622" s="3"/>
      <c r="F622" s="3"/>
      <c r="G622" s="3"/>
      <c r="H622" s="3"/>
      <c r="I622" s="6"/>
      <c r="J622" s="3"/>
      <c r="K622" s="7"/>
      <c r="L622" s="13" t="str">
        <f>IF(C622="","",IF(COUNTIFS(Parametry!$C$54:$C$113,E622)=1,INDEX(Parametry!$D$54:$D$113,MATCH(E622,Parametry!$C$54:$C$113,0)),""))</f>
        <v/>
      </c>
      <c r="M622" s="7">
        <f t="shared" si="27"/>
        <v>0</v>
      </c>
      <c r="N622" s="13">
        <f>IF(AND(ISNUMBER(D622),ISNUMBER(Parametry!$G$6)),IF(AND(YEAR(D622)=Parametry!$G$6,M622&lt;=Parametry!$G$7),1,0),0)</f>
        <v>0</v>
      </c>
      <c r="O622" s="13">
        <f>IF(C622="",IF(COUNTA(D622:J622)&gt;0,1,0),IF(OR(COUNTIFS($C$9:$C$1008,C622)&lt;&gt;1,NOT(ISNUMBER(D622)),NOT(ISNUMBER(I622)),L622="",AND(F622&lt;&gt;"",COUNTIFS(Umowy!$C$9:$C$108,F622,Umowy!$D$9:$D$108,L622)&lt;&gt;1)),1,0))</f>
        <v>0</v>
      </c>
      <c r="P622" s="7" t="str">
        <f t="shared" si="28"/>
        <v/>
      </c>
      <c r="Q622" s="7" t="str">
        <f t="shared" si="29"/>
        <v/>
      </c>
    </row>
    <row r="623" spans="1:17" ht="24" customHeight="1">
      <c r="A623" s="7"/>
      <c r="B623" s="7"/>
      <c r="C623" s="3"/>
      <c r="D623" s="2"/>
      <c r="E623" s="3"/>
      <c r="F623" s="3"/>
      <c r="G623" s="3"/>
      <c r="H623" s="3"/>
      <c r="I623" s="6"/>
      <c r="J623" s="3"/>
      <c r="K623" s="7"/>
      <c r="L623" s="13" t="str">
        <f>IF(C623="","",IF(COUNTIFS(Parametry!$C$54:$C$113,E623)=1,INDEX(Parametry!$D$54:$D$113,MATCH(E623,Parametry!$C$54:$C$113,0)),""))</f>
        <v/>
      </c>
      <c r="M623" s="7">
        <f t="shared" si="27"/>
        <v>0</v>
      </c>
      <c r="N623" s="13">
        <f>IF(AND(ISNUMBER(D623),ISNUMBER(Parametry!$G$6)),IF(AND(YEAR(D623)=Parametry!$G$6,M623&lt;=Parametry!$G$7),1,0),0)</f>
        <v>0</v>
      </c>
      <c r="O623" s="13">
        <f>IF(C623="",IF(COUNTA(D623:J623)&gt;0,1,0),IF(OR(COUNTIFS($C$9:$C$1008,C623)&lt;&gt;1,NOT(ISNUMBER(D623)),NOT(ISNUMBER(I623)),L623="",AND(F623&lt;&gt;"",COUNTIFS(Umowy!$C$9:$C$108,F623,Umowy!$D$9:$D$108,L623)&lt;&gt;1)),1,0))</f>
        <v>0</v>
      </c>
      <c r="P623" s="7" t="str">
        <f t="shared" si="28"/>
        <v/>
      </c>
      <c r="Q623" s="7" t="str">
        <f t="shared" si="29"/>
        <v/>
      </c>
    </row>
    <row r="624" spans="1:17" ht="24" customHeight="1">
      <c r="A624" s="7"/>
      <c r="B624" s="7"/>
      <c r="C624" s="3"/>
      <c r="D624" s="2"/>
      <c r="E624" s="3"/>
      <c r="F624" s="3"/>
      <c r="G624" s="3"/>
      <c r="H624" s="3"/>
      <c r="I624" s="6"/>
      <c r="J624" s="3"/>
      <c r="K624" s="7"/>
      <c r="L624" s="13" t="str">
        <f>IF(C624="","",IF(COUNTIFS(Parametry!$C$54:$C$113,E624)=1,INDEX(Parametry!$D$54:$D$113,MATCH(E624,Parametry!$C$54:$C$113,0)),""))</f>
        <v/>
      </c>
      <c r="M624" s="7">
        <f t="shared" si="27"/>
        <v>0</v>
      </c>
      <c r="N624" s="13">
        <f>IF(AND(ISNUMBER(D624),ISNUMBER(Parametry!$G$6)),IF(AND(YEAR(D624)=Parametry!$G$6,M624&lt;=Parametry!$G$7),1,0),0)</f>
        <v>0</v>
      </c>
      <c r="O624" s="13">
        <f>IF(C624="",IF(COUNTA(D624:J624)&gt;0,1,0),IF(OR(COUNTIFS($C$9:$C$1008,C624)&lt;&gt;1,NOT(ISNUMBER(D624)),NOT(ISNUMBER(I624)),L624="",AND(F624&lt;&gt;"",COUNTIFS(Umowy!$C$9:$C$108,F624,Umowy!$D$9:$D$108,L624)&lt;&gt;1)),1,0))</f>
        <v>0</v>
      </c>
      <c r="P624" s="7" t="str">
        <f t="shared" si="28"/>
        <v/>
      </c>
      <c r="Q624" s="7" t="str">
        <f t="shared" si="29"/>
        <v/>
      </c>
    </row>
    <row r="625" spans="1:17" ht="24" customHeight="1">
      <c r="A625" s="7"/>
      <c r="B625" s="7"/>
      <c r="C625" s="3"/>
      <c r="D625" s="2"/>
      <c r="E625" s="3"/>
      <c r="F625" s="3"/>
      <c r="G625" s="3"/>
      <c r="H625" s="3"/>
      <c r="I625" s="6"/>
      <c r="J625" s="3"/>
      <c r="K625" s="7"/>
      <c r="L625" s="13" t="str">
        <f>IF(C625="","",IF(COUNTIFS(Parametry!$C$54:$C$113,E625)=1,INDEX(Parametry!$D$54:$D$113,MATCH(E625,Parametry!$C$54:$C$113,0)),""))</f>
        <v/>
      </c>
      <c r="M625" s="7">
        <f t="shared" si="27"/>
        <v>0</v>
      </c>
      <c r="N625" s="13">
        <f>IF(AND(ISNUMBER(D625),ISNUMBER(Parametry!$G$6)),IF(AND(YEAR(D625)=Parametry!$G$6,M625&lt;=Parametry!$G$7),1,0),0)</f>
        <v>0</v>
      </c>
      <c r="O625" s="13">
        <f>IF(C625="",IF(COUNTA(D625:J625)&gt;0,1,0),IF(OR(COUNTIFS($C$9:$C$1008,C625)&lt;&gt;1,NOT(ISNUMBER(D625)),NOT(ISNUMBER(I625)),L625="",AND(F625&lt;&gt;"",COUNTIFS(Umowy!$C$9:$C$108,F625,Umowy!$D$9:$D$108,L625)&lt;&gt;1)),1,0))</f>
        <v>0</v>
      </c>
      <c r="P625" s="7" t="str">
        <f t="shared" si="28"/>
        <v/>
      </c>
      <c r="Q625" s="7" t="str">
        <f t="shared" si="29"/>
        <v/>
      </c>
    </row>
    <row r="626" spans="1:17" ht="24" customHeight="1">
      <c r="A626" s="7"/>
      <c r="B626" s="7"/>
      <c r="C626" s="3"/>
      <c r="D626" s="2"/>
      <c r="E626" s="3"/>
      <c r="F626" s="3"/>
      <c r="G626" s="3"/>
      <c r="H626" s="3"/>
      <c r="I626" s="6"/>
      <c r="J626" s="3"/>
      <c r="K626" s="7"/>
      <c r="L626" s="13" t="str">
        <f>IF(C626="","",IF(COUNTIFS(Parametry!$C$54:$C$113,E626)=1,INDEX(Parametry!$D$54:$D$113,MATCH(E626,Parametry!$C$54:$C$113,0)),""))</f>
        <v/>
      </c>
      <c r="M626" s="7">
        <f t="shared" si="27"/>
        <v>0</v>
      </c>
      <c r="N626" s="13">
        <f>IF(AND(ISNUMBER(D626),ISNUMBER(Parametry!$G$6)),IF(AND(YEAR(D626)=Parametry!$G$6,M626&lt;=Parametry!$G$7),1,0),0)</f>
        <v>0</v>
      </c>
      <c r="O626" s="13">
        <f>IF(C626="",IF(COUNTA(D626:J626)&gt;0,1,0),IF(OR(COUNTIFS($C$9:$C$1008,C626)&lt;&gt;1,NOT(ISNUMBER(D626)),NOT(ISNUMBER(I626)),L626="",AND(F626&lt;&gt;"",COUNTIFS(Umowy!$C$9:$C$108,F626,Umowy!$D$9:$D$108,L626)&lt;&gt;1)),1,0))</f>
        <v>0</v>
      </c>
      <c r="P626" s="7" t="str">
        <f t="shared" si="28"/>
        <v/>
      </c>
      <c r="Q626" s="7" t="str">
        <f t="shared" si="29"/>
        <v/>
      </c>
    </row>
    <row r="627" spans="1:17" ht="24" customHeight="1">
      <c r="A627" s="7"/>
      <c r="B627" s="7"/>
      <c r="C627" s="3"/>
      <c r="D627" s="2"/>
      <c r="E627" s="3"/>
      <c r="F627" s="3"/>
      <c r="G627" s="3"/>
      <c r="H627" s="3"/>
      <c r="I627" s="6"/>
      <c r="J627" s="3"/>
      <c r="K627" s="7"/>
      <c r="L627" s="13" t="str">
        <f>IF(C627="","",IF(COUNTIFS(Parametry!$C$54:$C$113,E627)=1,INDEX(Parametry!$D$54:$D$113,MATCH(E627,Parametry!$C$54:$C$113,0)),""))</f>
        <v/>
      </c>
      <c r="M627" s="7">
        <f t="shared" si="27"/>
        <v>0</v>
      </c>
      <c r="N627" s="13">
        <f>IF(AND(ISNUMBER(D627),ISNUMBER(Parametry!$G$6)),IF(AND(YEAR(D627)=Parametry!$G$6,M627&lt;=Parametry!$G$7),1,0),0)</f>
        <v>0</v>
      </c>
      <c r="O627" s="13">
        <f>IF(C627="",IF(COUNTA(D627:J627)&gt;0,1,0),IF(OR(COUNTIFS($C$9:$C$1008,C627)&lt;&gt;1,NOT(ISNUMBER(D627)),NOT(ISNUMBER(I627)),L627="",AND(F627&lt;&gt;"",COUNTIFS(Umowy!$C$9:$C$108,F627,Umowy!$D$9:$D$108,L627)&lt;&gt;1)),1,0))</f>
        <v>0</v>
      </c>
      <c r="P627" s="7" t="str">
        <f t="shared" si="28"/>
        <v/>
      </c>
      <c r="Q627" s="7" t="str">
        <f t="shared" si="29"/>
        <v/>
      </c>
    </row>
    <row r="628" spans="1:17" ht="24" customHeight="1">
      <c r="A628" s="7"/>
      <c r="B628" s="7"/>
      <c r="C628" s="3"/>
      <c r="D628" s="2"/>
      <c r="E628" s="3"/>
      <c r="F628" s="3"/>
      <c r="G628" s="3"/>
      <c r="H628" s="3"/>
      <c r="I628" s="6"/>
      <c r="J628" s="3"/>
      <c r="K628" s="7"/>
      <c r="L628" s="13" t="str">
        <f>IF(C628="","",IF(COUNTIFS(Parametry!$C$54:$C$113,E628)=1,INDEX(Parametry!$D$54:$D$113,MATCH(E628,Parametry!$C$54:$C$113,0)),""))</f>
        <v/>
      </c>
      <c r="M628" s="7">
        <f t="shared" si="27"/>
        <v>0</v>
      </c>
      <c r="N628" s="13">
        <f>IF(AND(ISNUMBER(D628),ISNUMBER(Parametry!$G$6)),IF(AND(YEAR(D628)=Parametry!$G$6,M628&lt;=Parametry!$G$7),1,0),0)</f>
        <v>0</v>
      </c>
      <c r="O628" s="13">
        <f>IF(C628="",IF(COUNTA(D628:J628)&gt;0,1,0),IF(OR(COUNTIFS($C$9:$C$1008,C628)&lt;&gt;1,NOT(ISNUMBER(D628)),NOT(ISNUMBER(I628)),L628="",AND(F628&lt;&gt;"",COUNTIFS(Umowy!$C$9:$C$108,F628,Umowy!$D$9:$D$108,L628)&lt;&gt;1)),1,0))</f>
        <v>0</v>
      </c>
      <c r="P628" s="7" t="str">
        <f t="shared" si="28"/>
        <v/>
      </c>
      <c r="Q628" s="7" t="str">
        <f t="shared" si="29"/>
        <v/>
      </c>
    </row>
    <row r="629" spans="1:17" ht="24" customHeight="1">
      <c r="A629" s="7"/>
      <c r="B629" s="7"/>
      <c r="C629" s="3"/>
      <c r="D629" s="2"/>
      <c r="E629" s="3"/>
      <c r="F629" s="3"/>
      <c r="G629" s="3"/>
      <c r="H629" s="3"/>
      <c r="I629" s="6"/>
      <c r="J629" s="3"/>
      <c r="K629" s="7"/>
      <c r="L629" s="13" t="str">
        <f>IF(C629="","",IF(COUNTIFS(Parametry!$C$54:$C$113,E629)=1,INDEX(Parametry!$D$54:$D$113,MATCH(E629,Parametry!$C$54:$C$113,0)),""))</f>
        <v/>
      </c>
      <c r="M629" s="7">
        <f t="shared" si="27"/>
        <v>0</v>
      </c>
      <c r="N629" s="13">
        <f>IF(AND(ISNUMBER(D629),ISNUMBER(Parametry!$G$6)),IF(AND(YEAR(D629)=Parametry!$G$6,M629&lt;=Parametry!$G$7),1,0),0)</f>
        <v>0</v>
      </c>
      <c r="O629" s="13">
        <f>IF(C629="",IF(COUNTA(D629:J629)&gt;0,1,0),IF(OR(COUNTIFS($C$9:$C$1008,C629)&lt;&gt;1,NOT(ISNUMBER(D629)),NOT(ISNUMBER(I629)),L629="",AND(F629&lt;&gt;"",COUNTIFS(Umowy!$C$9:$C$108,F629,Umowy!$D$9:$D$108,L629)&lt;&gt;1)),1,0))</f>
        <v>0</v>
      </c>
      <c r="P629" s="7" t="str">
        <f t="shared" si="28"/>
        <v/>
      </c>
      <c r="Q629" s="7" t="str">
        <f t="shared" si="29"/>
        <v/>
      </c>
    </row>
    <row r="630" spans="1:17" ht="24" customHeight="1">
      <c r="A630" s="7"/>
      <c r="B630" s="7"/>
      <c r="C630" s="3"/>
      <c r="D630" s="2"/>
      <c r="E630" s="3"/>
      <c r="F630" s="3"/>
      <c r="G630" s="3"/>
      <c r="H630" s="3"/>
      <c r="I630" s="6"/>
      <c r="J630" s="3"/>
      <c r="K630" s="7"/>
      <c r="L630" s="13" t="str">
        <f>IF(C630="","",IF(COUNTIFS(Parametry!$C$54:$C$113,E630)=1,INDEX(Parametry!$D$54:$D$113,MATCH(E630,Parametry!$C$54:$C$113,0)),""))</f>
        <v/>
      </c>
      <c r="M630" s="7">
        <f t="shared" si="27"/>
        <v>0</v>
      </c>
      <c r="N630" s="13">
        <f>IF(AND(ISNUMBER(D630),ISNUMBER(Parametry!$G$6)),IF(AND(YEAR(D630)=Parametry!$G$6,M630&lt;=Parametry!$G$7),1,0),0)</f>
        <v>0</v>
      </c>
      <c r="O630" s="13">
        <f>IF(C630="",IF(COUNTA(D630:J630)&gt;0,1,0),IF(OR(COUNTIFS($C$9:$C$1008,C630)&lt;&gt;1,NOT(ISNUMBER(D630)),NOT(ISNUMBER(I630)),L630="",AND(F630&lt;&gt;"",COUNTIFS(Umowy!$C$9:$C$108,F630,Umowy!$D$9:$D$108,L630)&lt;&gt;1)),1,0))</f>
        <v>0</v>
      </c>
      <c r="P630" s="7" t="str">
        <f t="shared" si="28"/>
        <v/>
      </c>
      <c r="Q630" s="7" t="str">
        <f t="shared" si="29"/>
        <v/>
      </c>
    </row>
    <row r="631" spans="1:17" ht="24" customHeight="1">
      <c r="A631" s="7"/>
      <c r="B631" s="7"/>
      <c r="C631" s="3"/>
      <c r="D631" s="2"/>
      <c r="E631" s="3"/>
      <c r="F631" s="3"/>
      <c r="G631" s="3"/>
      <c r="H631" s="3"/>
      <c r="I631" s="6"/>
      <c r="J631" s="3"/>
      <c r="K631" s="7"/>
      <c r="L631" s="13" t="str">
        <f>IF(C631="","",IF(COUNTIFS(Parametry!$C$54:$C$113,E631)=1,INDEX(Parametry!$D$54:$D$113,MATCH(E631,Parametry!$C$54:$C$113,0)),""))</f>
        <v/>
      </c>
      <c r="M631" s="7">
        <f t="shared" si="27"/>
        <v>0</v>
      </c>
      <c r="N631" s="13">
        <f>IF(AND(ISNUMBER(D631),ISNUMBER(Parametry!$G$6)),IF(AND(YEAR(D631)=Parametry!$G$6,M631&lt;=Parametry!$G$7),1,0),0)</f>
        <v>0</v>
      </c>
      <c r="O631" s="13">
        <f>IF(C631="",IF(COUNTA(D631:J631)&gt;0,1,0),IF(OR(COUNTIFS($C$9:$C$1008,C631)&lt;&gt;1,NOT(ISNUMBER(D631)),NOT(ISNUMBER(I631)),L631="",AND(F631&lt;&gt;"",COUNTIFS(Umowy!$C$9:$C$108,F631,Umowy!$D$9:$D$108,L631)&lt;&gt;1)),1,0))</f>
        <v>0</v>
      </c>
      <c r="P631" s="7" t="str">
        <f t="shared" si="28"/>
        <v/>
      </c>
      <c r="Q631" s="7" t="str">
        <f t="shared" si="29"/>
        <v/>
      </c>
    </row>
    <row r="632" spans="1:17" ht="24" customHeight="1">
      <c r="A632" s="7"/>
      <c r="B632" s="7"/>
      <c r="C632" s="3"/>
      <c r="D632" s="2"/>
      <c r="E632" s="3"/>
      <c r="F632" s="3"/>
      <c r="G632" s="3"/>
      <c r="H632" s="3"/>
      <c r="I632" s="6"/>
      <c r="J632" s="3"/>
      <c r="K632" s="7"/>
      <c r="L632" s="13" t="str">
        <f>IF(C632="","",IF(COUNTIFS(Parametry!$C$54:$C$113,E632)=1,INDEX(Parametry!$D$54:$D$113,MATCH(E632,Parametry!$C$54:$C$113,0)),""))</f>
        <v/>
      </c>
      <c r="M632" s="7">
        <f t="shared" si="27"/>
        <v>0</v>
      </c>
      <c r="N632" s="13">
        <f>IF(AND(ISNUMBER(D632),ISNUMBER(Parametry!$G$6)),IF(AND(YEAR(D632)=Parametry!$G$6,M632&lt;=Parametry!$G$7),1,0),0)</f>
        <v>0</v>
      </c>
      <c r="O632" s="13">
        <f>IF(C632="",IF(COUNTA(D632:J632)&gt;0,1,0),IF(OR(COUNTIFS($C$9:$C$1008,C632)&lt;&gt;1,NOT(ISNUMBER(D632)),NOT(ISNUMBER(I632)),L632="",AND(F632&lt;&gt;"",COUNTIFS(Umowy!$C$9:$C$108,F632,Umowy!$D$9:$D$108,L632)&lt;&gt;1)),1,0))</f>
        <v>0</v>
      </c>
      <c r="P632" s="7" t="str">
        <f t="shared" si="28"/>
        <v/>
      </c>
      <c r="Q632" s="7" t="str">
        <f t="shared" si="29"/>
        <v/>
      </c>
    </row>
    <row r="633" spans="1:17" ht="24" customHeight="1">
      <c r="A633" s="7"/>
      <c r="B633" s="7"/>
      <c r="C633" s="3"/>
      <c r="D633" s="2"/>
      <c r="E633" s="3"/>
      <c r="F633" s="3"/>
      <c r="G633" s="3"/>
      <c r="H633" s="3"/>
      <c r="I633" s="6"/>
      <c r="J633" s="3"/>
      <c r="K633" s="7"/>
      <c r="L633" s="13" t="str">
        <f>IF(C633="","",IF(COUNTIFS(Parametry!$C$54:$C$113,E633)=1,INDEX(Parametry!$D$54:$D$113,MATCH(E633,Parametry!$C$54:$C$113,0)),""))</f>
        <v/>
      </c>
      <c r="M633" s="7">
        <f t="shared" si="27"/>
        <v>0</v>
      </c>
      <c r="N633" s="13">
        <f>IF(AND(ISNUMBER(D633),ISNUMBER(Parametry!$G$6)),IF(AND(YEAR(D633)=Parametry!$G$6,M633&lt;=Parametry!$G$7),1,0),0)</f>
        <v>0</v>
      </c>
      <c r="O633" s="13">
        <f>IF(C633="",IF(COUNTA(D633:J633)&gt;0,1,0),IF(OR(COUNTIFS($C$9:$C$1008,C633)&lt;&gt;1,NOT(ISNUMBER(D633)),NOT(ISNUMBER(I633)),L633="",AND(F633&lt;&gt;"",COUNTIFS(Umowy!$C$9:$C$108,F633,Umowy!$D$9:$D$108,L633)&lt;&gt;1)),1,0))</f>
        <v>0</v>
      </c>
      <c r="P633" s="7" t="str">
        <f t="shared" si="28"/>
        <v/>
      </c>
      <c r="Q633" s="7" t="str">
        <f t="shared" si="29"/>
        <v/>
      </c>
    </row>
    <row r="634" spans="1:17" ht="24" customHeight="1">
      <c r="A634" s="7"/>
      <c r="B634" s="7"/>
      <c r="C634" s="3"/>
      <c r="D634" s="2"/>
      <c r="E634" s="3"/>
      <c r="F634" s="3"/>
      <c r="G634" s="3"/>
      <c r="H634" s="3"/>
      <c r="I634" s="6"/>
      <c r="J634" s="3"/>
      <c r="K634" s="7"/>
      <c r="L634" s="13" t="str">
        <f>IF(C634="","",IF(COUNTIFS(Parametry!$C$54:$C$113,E634)=1,INDEX(Parametry!$D$54:$D$113,MATCH(E634,Parametry!$C$54:$C$113,0)),""))</f>
        <v/>
      </c>
      <c r="M634" s="7">
        <f t="shared" si="27"/>
        <v>0</v>
      </c>
      <c r="N634" s="13">
        <f>IF(AND(ISNUMBER(D634),ISNUMBER(Parametry!$G$6)),IF(AND(YEAR(D634)=Parametry!$G$6,M634&lt;=Parametry!$G$7),1,0),0)</f>
        <v>0</v>
      </c>
      <c r="O634" s="13">
        <f>IF(C634="",IF(COUNTA(D634:J634)&gt;0,1,0),IF(OR(COUNTIFS($C$9:$C$1008,C634)&lt;&gt;1,NOT(ISNUMBER(D634)),NOT(ISNUMBER(I634)),L634="",AND(F634&lt;&gt;"",COUNTIFS(Umowy!$C$9:$C$108,F634,Umowy!$D$9:$D$108,L634)&lt;&gt;1)),1,0))</f>
        <v>0</v>
      </c>
      <c r="P634" s="7" t="str">
        <f t="shared" si="28"/>
        <v/>
      </c>
      <c r="Q634" s="7" t="str">
        <f t="shared" si="29"/>
        <v/>
      </c>
    </row>
    <row r="635" spans="1:17" ht="24" customHeight="1">
      <c r="A635" s="7"/>
      <c r="B635" s="7"/>
      <c r="C635" s="3"/>
      <c r="D635" s="2"/>
      <c r="E635" s="3"/>
      <c r="F635" s="3"/>
      <c r="G635" s="3"/>
      <c r="H635" s="3"/>
      <c r="I635" s="6"/>
      <c r="J635" s="3"/>
      <c r="K635" s="7"/>
      <c r="L635" s="13" t="str">
        <f>IF(C635="","",IF(COUNTIFS(Parametry!$C$54:$C$113,E635)=1,INDEX(Parametry!$D$54:$D$113,MATCH(E635,Parametry!$C$54:$C$113,0)),""))</f>
        <v/>
      </c>
      <c r="M635" s="7">
        <f t="shared" si="27"/>
        <v>0</v>
      </c>
      <c r="N635" s="13">
        <f>IF(AND(ISNUMBER(D635),ISNUMBER(Parametry!$G$6)),IF(AND(YEAR(D635)=Parametry!$G$6,M635&lt;=Parametry!$G$7),1,0),0)</f>
        <v>0</v>
      </c>
      <c r="O635" s="13">
        <f>IF(C635="",IF(COUNTA(D635:J635)&gt;0,1,0),IF(OR(COUNTIFS($C$9:$C$1008,C635)&lt;&gt;1,NOT(ISNUMBER(D635)),NOT(ISNUMBER(I635)),L635="",AND(F635&lt;&gt;"",COUNTIFS(Umowy!$C$9:$C$108,F635,Umowy!$D$9:$D$108,L635)&lt;&gt;1)),1,0))</f>
        <v>0</v>
      </c>
      <c r="P635" s="7" t="str">
        <f t="shared" si="28"/>
        <v/>
      </c>
      <c r="Q635" s="7" t="str">
        <f t="shared" si="29"/>
        <v/>
      </c>
    </row>
    <row r="636" spans="1:17" ht="24" customHeight="1">
      <c r="A636" s="7"/>
      <c r="B636" s="7"/>
      <c r="C636" s="3"/>
      <c r="D636" s="2"/>
      <c r="E636" s="3"/>
      <c r="F636" s="3"/>
      <c r="G636" s="3"/>
      <c r="H636" s="3"/>
      <c r="I636" s="6"/>
      <c r="J636" s="3"/>
      <c r="K636" s="7"/>
      <c r="L636" s="13" t="str">
        <f>IF(C636="","",IF(COUNTIFS(Parametry!$C$54:$C$113,E636)=1,INDEX(Parametry!$D$54:$D$113,MATCH(E636,Parametry!$C$54:$C$113,0)),""))</f>
        <v/>
      </c>
      <c r="M636" s="7">
        <f t="shared" si="27"/>
        <v>0</v>
      </c>
      <c r="N636" s="13">
        <f>IF(AND(ISNUMBER(D636),ISNUMBER(Parametry!$G$6)),IF(AND(YEAR(D636)=Parametry!$G$6,M636&lt;=Parametry!$G$7),1,0),0)</f>
        <v>0</v>
      </c>
      <c r="O636" s="13">
        <f>IF(C636="",IF(COUNTA(D636:J636)&gt;0,1,0),IF(OR(COUNTIFS($C$9:$C$1008,C636)&lt;&gt;1,NOT(ISNUMBER(D636)),NOT(ISNUMBER(I636)),L636="",AND(F636&lt;&gt;"",COUNTIFS(Umowy!$C$9:$C$108,F636,Umowy!$D$9:$D$108,L636)&lt;&gt;1)),1,0))</f>
        <v>0</v>
      </c>
      <c r="P636" s="7" t="str">
        <f t="shared" si="28"/>
        <v/>
      </c>
      <c r="Q636" s="7" t="str">
        <f t="shared" si="29"/>
        <v/>
      </c>
    </row>
    <row r="637" spans="1:17" ht="24" customHeight="1">
      <c r="A637" s="7"/>
      <c r="B637" s="7"/>
      <c r="C637" s="3"/>
      <c r="D637" s="2"/>
      <c r="E637" s="3"/>
      <c r="F637" s="3"/>
      <c r="G637" s="3"/>
      <c r="H637" s="3"/>
      <c r="I637" s="6"/>
      <c r="J637" s="3"/>
      <c r="K637" s="7"/>
      <c r="L637" s="13" t="str">
        <f>IF(C637="","",IF(COUNTIFS(Parametry!$C$54:$C$113,E637)=1,INDEX(Parametry!$D$54:$D$113,MATCH(E637,Parametry!$C$54:$C$113,0)),""))</f>
        <v/>
      </c>
      <c r="M637" s="7">
        <f t="shared" si="27"/>
        <v>0</v>
      </c>
      <c r="N637" s="13">
        <f>IF(AND(ISNUMBER(D637),ISNUMBER(Parametry!$G$6)),IF(AND(YEAR(D637)=Parametry!$G$6,M637&lt;=Parametry!$G$7),1,0),0)</f>
        <v>0</v>
      </c>
      <c r="O637" s="13">
        <f>IF(C637="",IF(COUNTA(D637:J637)&gt;0,1,0),IF(OR(COUNTIFS($C$9:$C$1008,C637)&lt;&gt;1,NOT(ISNUMBER(D637)),NOT(ISNUMBER(I637)),L637="",AND(F637&lt;&gt;"",COUNTIFS(Umowy!$C$9:$C$108,F637,Umowy!$D$9:$D$108,L637)&lt;&gt;1)),1,0))</f>
        <v>0</v>
      </c>
      <c r="P637" s="7" t="str">
        <f t="shared" si="28"/>
        <v/>
      </c>
      <c r="Q637" s="7" t="str">
        <f t="shared" si="29"/>
        <v/>
      </c>
    </row>
    <row r="638" spans="1:17" ht="24" customHeight="1">
      <c r="A638" s="7"/>
      <c r="B638" s="7"/>
      <c r="C638" s="3"/>
      <c r="D638" s="2"/>
      <c r="E638" s="3"/>
      <c r="F638" s="3"/>
      <c r="G638" s="3"/>
      <c r="H638" s="3"/>
      <c r="I638" s="6"/>
      <c r="J638" s="3"/>
      <c r="K638" s="7"/>
      <c r="L638" s="13" t="str">
        <f>IF(C638="","",IF(COUNTIFS(Parametry!$C$54:$C$113,E638)=1,INDEX(Parametry!$D$54:$D$113,MATCH(E638,Parametry!$C$54:$C$113,0)),""))</f>
        <v/>
      </c>
      <c r="M638" s="7">
        <f t="shared" si="27"/>
        <v>0</v>
      </c>
      <c r="N638" s="13">
        <f>IF(AND(ISNUMBER(D638),ISNUMBER(Parametry!$G$6)),IF(AND(YEAR(D638)=Parametry!$G$6,M638&lt;=Parametry!$G$7),1,0),0)</f>
        <v>0</v>
      </c>
      <c r="O638" s="13">
        <f>IF(C638="",IF(COUNTA(D638:J638)&gt;0,1,0),IF(OR(COUNTIFS($C$9:$C$1008,C638)&lt;&gt;1,NOT(ISNUMBER(D638)),NOT(ISNUMBER(I638)),L638="",AND(F638&lt;&gt;"",COUNTIFS(Umowy!$C$9:$C$108,F638,Umowy!$D$9:$D$108,L638)&lt;&gt;1)),1,0))</f>
        <v>0</v>
      </c>
      <c r="P638" s="7" t="str">
        <f t="shared" si="28"/>
        <v/>
      </c>
      <c r="Q638" s="7" t="str">
        <f t="shared" si="29"/>
        <v/>
      </c>
    </row>
    <row r="639" spans="1:17" ht="24" customHeight="1">
      <c r="A639" s="7"/>
      <c r="B639" s="7"/>
      <c r="C639" s="3"/>
      <c r="D639" s="2"/>
      <c r="E639" s="3"/>
      <c r="F639" s="3"/>
      <c r="G639" s="3"/>
      <c r="H639" s="3"/>
      <c r="I639" s="6"/>
      <c r="J639" s="3"/>
      <c r="K639" s="7"/>
      <c r="L639" s="13" t="str">
        <f>IF(C639="","",IF(COUNTIFS(Parametry!$C$54:$C$113,E639)=1,INDEX(Parametry!$D$54:$D$113,MATCH(E639,Parametry!$C$54:$C$113,0)),""))</f>
        <v/>
      </c>
      <c r="M639" s="7">
        <f t="shared" si="27"/>
        <v>0</v>
      </c>
      <c r="N639" s="13">
        <f>IF(AND(ISNUMBER(D639),ISNUMBER(Parametry!$G$6)),IF(AND(YEAR(D639)=Parametry!$G$6,M639&lt;=Parametry!$G$7),1,0),0)</f>
        <v>0</v>
      </c>
      <c r="O639" s="13">
        <f>IF(C639="",IF(COUNTA(D639:J639)&gt;0,1,0),IF(OR(COUNTIFS($C$9:$C$1008,C639)&lt;&gt;1,NOT(ISNUMBER(D639)),NOT(ISNUMBER(I639)),L639="",AND(F639&lt;&gt;"",COUNTIFS(Umowy!$C$9:$C$108,F639,Umowy!$D$9:$D$108,L639)&lt;&gt;1)),1,0))</f>
        <v>0</v>
      </c>
      <c r="P639" s="7" t="str">
        <f t="shared" si="28"/>
        <v/>
      </c>
      <c r="Q639" s="7" t="str">
        <f t="shared" si="29"/>
        <v/>
      </c>
    </row>
    <row r="640" spans="1:17" ht="24" customHeight="1">
      <c r="A640" s="7"/>
      <c r="B640" s="7"/>
      <c r="C640" s="3"/>
      <c r="D640" s="2"/>
      <c r="E640" s="3"/>
      <c r="F640" s="3"/>
      <c r="G640" s="3"/>
      <c r="H640" s="3"/>
      <c r="I640" s="6"/>
      <c r="J640" s="3"/>
      <c r="K640" s="7"/>
      <c r="L640" s="13" t="str">
        <f>IF(C640="","",IF(COUNTIFS(Parametry!$C$54:$C$113,E640)=1,INDEX(Parametry!$D$54:$D$113,MATCH(E640,Parametry!$C$54:$C$113,0)),""))</f>
        <v/>
      </c>
      <c r="M640" s="7">
        <f t="shared" si="27"/>
        <v>0</v>
      </c>
      <c r="N640" s="13">
        <f>IF(AND(ISNUMBER(D640),ISNUMBER(Parametry!$G$6)),IF(AND(YEAR(D640)=Parametry!$G$6,M640&lt;=Parametry!$G$7),1,0),0)</f>
        <v>0</v>
      </c>
      <c r="O640" s="13">
        <f>IF(C640="",IF(COUNTA(D640:J640)&gt;0,1,0),IF(OR(COUNTIFS($C$9:$C$1008,C640)&lt;&gt;1,NOT(ISNUMBER(D640)),NOT(ISNUMBER(I640)),L640="",AND(F640&lt;&gt;"",COUNTIFS(Umowy!$C$9:$C$108,F640,Umowy!$D$9:$D$108,L640)&lt;&gt;1)),1,0))</f>
        <v>0</v>
      </c>
      <c r="P640" s="7" t="str">
        <f t="shared" si="28"/>
        <v/>
      </c>
      <c r="Q640" s="7" t="str">
        <f t="shared" si="29"/>
        <v/>
      </c>
    </row>
    <row r="641" spans="1:17" ht="24" customHeight="1">
      <c r="A641" s="7"/>
      <c r="B641" s="7"/>
      <c r="C641" s="3"/>
      <c r="D641" s="2"/>
      <c r="E641" s="3"/>
      <c r="F641" s="3"/>
      <c r="G641" s="3"/>
      <c r="H641" s="3"/>
      <c r="I641" s="6"/>
      <c r="J641" s="3"/>
      <c r="K641" s="7"/>
      <c r="L641" s="13" t="str">
        <f>IF(C641="","",IF(COUNTIFS(Parametry!$C$54:$C$113,E641)=1,INDEX(Parametry!$D$54:$D$113,MATCH(E641,Parametry!$C$54:$C$113,0)),""))</f>
        <v/>
      </c>
      <c r="M641" s="7">
        <f t="shared" si="27"/>
        <v>0</v>
      </c>
      <c r="N641" s="13">
        <f>IF(AND(ISNUMBER(D641),ISNUMBER(Parametry!$G$6)),IF(AND(YEAR(D641)=Parametry!$G$6,M641&lt;=Parametry!$G$7),1,0),0)</f>
        <v>0</v>
      </c>
      <c r="O641" s="13">
        <f>IF(C641="",IF(COUNTA(D641:J641)&gt;0,1,0),IF(OR(COUNTIFS($C$9:$C$1008,C641)&lt;&gt;1,NOT(ISNUMBER(D641)),NOT(ISNUMBER(I641)),L641="",AND(F641&lt;&gt;"",COUNTIFS(Umowy!$C$9:$C$108,F641,Umowy!$D$9:$D$108,L641)&lt;&gt;1)),1,0))</f>
        <v>0</v>
      </c>
      <c r="P641" s="7" t="str">
        <f t="shared" si="28"/>
        <v/>
      </c>
      <c r="Q641" s="7" t="str">
        <f t="shared" si="29"/>
        <v/>
      </c>
    </row>
    <row r="642" spans="1:17" ht="24" customHeight="1">
      <c r="A642" s="7"/>
      <c r="B642" s="7"/>
      <c r="C642" s="3"/>
      <c r="D642" s="2"/>
      <c r="E642" s="3"/>
      <c r="F642" s="3"/>
      <c r="G642" s="3"/>
      <c r="H642" s="3"/>
      <c r="I642" s="6"/>
      <c r="J642" s="3"/>
      <c r="K642" s="7"/>
      <c r="L642" s="13" t="str">
        <f>IF(C642="","",IF(COUNTIFS(Parametry!$C$54:$C$113,E642)=1,INDEX(Parametry!$D$54:$D$113,MATCH(E642,Parametry!$C$54:$C$113,0)),""))</f>
        <v/>
      </c>
      <c r="M642" s="7">
        <f t="shared" si="27"/>
        <v>0</v>
      </c>
      <c r="N642" s="13">
        <f>IF(AND(ISNUMBER(D642),ISNUMBER(Parametry!$G$6)),IF(AND(YEAR(D642)=Parametry!$G$6,M642&lt;=Parametry!$G$7),1,0),0)</f>
        <v>0</v>
      </c>
      <c r="O642" s="13">
        <f>IF(C642="",IF(COUNTA(D642:J642)&gt;0,1,0),IF(OR(COUNTIFS($C$9:$C$1008,C642)&lt;&gt;1,NOT(ISNUMBER(D642)),NOT(ISNUMBER(I642)),L642="",AND(F642&lt;&gt;"",COUNTIFS(Umowy!$C$9:$C$108,F642,Umowy!$D$9:$D$108,L642)&lt;&gt;1)),1,0))</f>
        <v>0</v>
      </c>
      <c r="P642" s="7" t="str">
        <f t="shared" si="28"/>
        <v/>
      </c>
      <c r="Q642" s="7" t="str">
        <f t="shared" si="29"/>
        <v/>
      </c>
    </row>
    <row r="643" spans="1:17" ht="24" customHeight="1">
      <c r="A643" s="7"/>
      <c r="B643" s="7"/>
      <c r="C643" s="3"/>
      <c r="D643" s="2"/>
      <c r="E643" s="3"/>
      <c r="F643" s="3"/>
      <c r="G643" s="3"/>
      <c r="H643" s="3"/>
      <c r="I643" s="6"/>
      <c r="J643" s="3"/>
      <c r="K643" s="7"/>
      <c r="L643" s="13" t="str">
        <f>IF(C643="","",IF(COUNTIFS(Parametry!$C$54:$C$113,E643)=1,INDEX(Parametry!$D$54:$D$113,MATCH(E643,Parametry!$C$54:$C$113,0)),""))</f>
        <v/>
      </c>
      <c r="M643" s="7">
        <f t="shared" si="27"/>
        <v>0</v>
      </c>
      <c r="N643" s="13">
        <f>IF(AND(ISNUMBER(D643),ISNUMBER(Parametry!$G$6)),IF(AND(YEAR(D643)=Parametry!$G$6,M643&lt;=Parametry!$G$7),1,0),0)</f>
        <v>0</v>
      </c>
      <c r="O643" s="13">
        <f>IF(C643="",IF(COUNTA(D643:J643)&gt;0,1,0),IF(OR(COUNTIFS($C$9:$C$1008,C643)&lt;&gt;1,NOT(ISNUMBER(D643)),NOT(ISNUMBER(I643)),L643="",AND(F643&lt;&gt;"",COUNTIFS(Umowy!$C$9:$C$108,F643,Umowy!$D$9:$D$108,L643)&lt;&gt;1)),1,0))</f>
        <v>0</v>
      </c>
      <c r="P643" s="7" t="str">
        <f t="shared" si="28"/>
        <v/>
      </c>
      <c r="Q643" s="7" t="str">
        <f t="shared" si="29"/>
        <v/>
      </c>
    </row>
    <row r="644" spans="1:17" ht="24" customHeight="1">
      <c r="A644" s="7"/>
      <c r="B644" s="7"/>
      <c r="C644" s="3"/>
      <c r="D644" s="2"/>
      <c r="E644" s="3"/>
      <c r="F644" s="3"/>
      <c r="G644" s="3"/>
      <c r="H644" s="3"/>
      <c r="I644" s="6"/>
      <c r="J644" s="3"/>
      <c r="K644" s="7"/>
      <c r="L644" s="13" t="str">
        <f>IF(C644="","",IF(COUNTIFS(Parametry!$C$54:$C$113,E644)=1,INDEX(Parametry!$D$54:$D$113,MATCH(E644,Parametry!$C$54:$C$113,0)),""))</f>
        <v/>
      </c>
      <c r="M644" s="7">
        <f t="shared" si="27"/>
        <v>0</v>
      </c>
      <c r="N644" s="13">
        <f>IF(AND(ISNUMBER(D644),ISNUMBER(Parametry!$G$6)),IF(AND(YEAR(D644)=Parametry!$G$6,M644&lt;=Parametry!$G$7),1,0),0)</f>
        <v>0</v>
      </c>
      <c r="O644" s="13">
        <f>IF(C644="",IF(COUNTA(D644:J644)&gt;0,1,0),IF(OR(COUNTIFS($C$9:$C$1008,C644)&lt;&gt;1,NOT(ISNUMBER(D644)),NOT(ISNUMBER(I644)),L644="",AND(F644&lt;&gt;"",COUNTIFS(Umowy!$C$9:$C$108,F644,Umowy!$D$9:$D$108,L644)&lt;&gt;1)),1,0))</f>
        <v>0</v>
      </c>
      <c r="P644" s="7" t="str">
        <f t="shared" si="28"/>
        <v/>
      </c>
      <c r="Q644" s="7" t="str">
        <f t="shared" si="29"/>
        <v/>
      </c>
    </row>
    <row r="645" spans="1:17" ht="24" customHeight="1">
      <c r="A645" s="7"/>
      <c r="B645" s="7"/>
      <c r="C645" s="3"/>
      <c r="D645" s="2"/>
      <c r="E645" s="3"/>
      <c r="F645" s="3"/>
      <c r="G645" s="3"/>
      <c r="H645" s="3"/>
      <c r="I645" s="6"/>
      <c r="J645" s="3"/>
      <c r="K645" s="7"/>
      <c r="L645" s="13" t="str">
        <f>IF(C645="","",IF(COUNTIFS(Parametry!$C$54:$C$113,E645)=1,INDEX(Parametry!$D$54:$D$113,MATCH(E645,Parametry!$C$54:$C$113,0)),""))</f>
        <v/>
      </c>
      <c r="M645" s="7">
        <f t="shared" si="27"/>
        <v>0</v>
      </c>
      <c r="N645" s="13">
        <f>IF(AND(ISNUMBER(D645),ISNUMBER(Parametry!$G$6)),IF(AND(YEAR(D645)=Parametry!$G$6,M645&lt;=Parametry!$G$7),1,0),0)</f>
        <v>0</v>
      </c>
      <c r="O645" s="13">
        <f>IF(C645="",IF(COUNTA(D645:J645)&gt;0,1,0),IF(OR(COUNTIFS($C$9:$C$1008,C645)&lt;&gt;1,NOT(ISNUMBER(D645)),NOT(ISNUMBER(I645)),L645="",AND(F645&lt;&gt;"",COUNTIFS(Umowy!$C$9:$C$108,F645,Umowy!$D$9:$D$108,L645)&lt;&gt;1)),1,0))</f>
        <v>0</v>
      </c>
      <c r="P645" s="7" t="str">
        <f t="shared" si="28"/>
        <v/>
      </c>
      <c r="Q645" s="7" t="str">
        <f t="shared" si="29"/>
        <v/>
      </c>
    </row>
    <row r="646" spans="1:17" ht="24" customHeight="1">
      <c r="A646" s="7"/>
      <c r="B646" s="7"/>
      <c r="C646" s="3"/>
      <c r="D646" s="2"/>
      <c r="E646" s="3"/>
      <c r="F646" s="3"/>
      <c r="G646" s="3"/>
      <c r="H646" s="3"/>
      <c r="I646" s="6"/>
      <c r="J646" s="3"/>
      <c r="K646" s="7"/>
      <c r="L646" s="13" t="str">
        <f>IF(C646="","",IF(COUNTIFS(Parametry!$C$54:$C$113,E646)=1,INDEX(Parametry!$D$54:$D$113,MATCH(E646,Parametry!$C$54:$C$113,0)),""))</f>
        <v/>
      </c>
      <c r="M646" s="7">
        <f t="shared" si="27"/>
        <v>0</v>
      </c>
      <c r="N646" s="13">
        <f>IF(AND(ISNUMBER(D646),ISNUMBER(Parametry!$G$6)),IF(AND(YEAR(D646)=Parametry!$G$6,M646&lt;=Parametry!$G$7),1,0),0)</f>
        <v>0</v>
      </c>
      <c r="O646" s="13">
        <f>IF(C646="",IF(COUNTA(D646:J646)&gt;0,1,0),IF(OR(COUNTIFS($C$9:$C$1008,C646)&lt;&gt;1,NOT(ISNUMBER(D646)),NOT(ISNUMBER(I646)),L646="",AND(F646&lt;&gt;"",COUNTIFS(Umowy!$C$9:$C$108,F646,Umowy!$D$9:$D$108,L646)&lt;&gt;1)),1,0))</f>
        <v>0</v>
      </c>
      <c r="P646" s="7" t="str">
        <f t="shared" si="28"/>
        <v/>
      </c>
      <c r="Q646" s="7" t="str">
        <f t="shared" si="29"/>
        <v/>
      </c>
    </row>
    <row r="647" spans="1:17" ht="24" customHeight="1">
      <c r="A647" s="7"/>
      <c r="B647" s="7"/>
      <c r="C647" s="3"/>
      <c r="D647" s="2"/>
      <c r="E647" s="3"/>
      <c r="F647" s="3"/>
      <c r="G647" s="3"/>
      <c r="H647" s="3"/>
      <c r="I647" s="6"/>
      <c r="J647" s="3"/>
      <c r="K647" s="7"/>
      <c r="L647" s="13" t="str">
        <f>IF(C647="","",IF(COUNTIFS(Parametry!$C$54:$C$113,E647)=1,INDEX(Parametry!$D$54:$D$113,MATCH(E647,Parametry!$C$54:$C$113,0)),""))</f>
        <v/>
      </c>
      <c r="M647" s="7">
        <f t="shared" si="27"/>
        <v>0</v>
      </c>
      <c r="N647" s="13">
        <f>IF(AND(ISNUMBER(D647),ISNUMBER(Parametry!$G$6)),IF(AND(YEAR(D647)=Parametry!$G$6,M647&lt;=Parametry!$G$7),1,0),0)</f>
        <v>0</v>
      </c>
      <c r="O647" s="13">
        <f>IF(C647="",IF(COUNTA(D647:J647)&gt;0,1,0),IF(OR(COUNTIFS($C$9:$C$1008,C647)&lt;&gt;1,NOT(ISNUMBER(D647)),NOT(ISNUMBER(I647)),L647="",AND(F647&lt;&gt;"",COUNTIFS(Umowy!$C$9:$C$108,F647,Umowy!$D$9:$D$108,L647)&lt;&gt;1)),1,0))</f>
        <v>0</v>
      </c>
      <c r="P647" s="7" t="str">
        <f t="shared" si="28"/>
        <v/>
      </c>
      <c r="Q647" s="7" t="str">
        <f t="shared" si="29"/>
        <v/>
      </c>
    </row>
    <row r="648" spans="1:17" ht="24" customHeight="1">
      <c r="A648" s="7"/>
      <c r="B648" s="7"/>
      <c r="C648" s="3"/>
      <c r="D648" s="2"/>
      <c r="E648" s="3"/>
      <c r="F648" s="3"/>
      <c r="G648" s="3"/>
      <c r="H648" s="3"/>
      <c r="I648" s="6"/>
      <c r="J648" s="3"/>
      <c r="K648" s="7"/>
      <c r="L648" s="13" t="str">
        <f>IF(C648="","",IF(COUNTIFS(Parametry!$C$54:$C$113,E648)=1,INDEX(Parametry!$D$54:$D$113,MATCH(E648,Parametry!$C$54:$C$113,0)),""))</f>
        <v/>
      </c>
      <c r="M648" s="7">
        <f t="shared" si="27"/>
        <v>0</v>
      </c>
      <c r="N648" s="13">
        <f>IF(AND(ISNUMBER(D648),ISNUMBER(Parametry!$G$6)),IF(AND(YEAR(D648)=Parametry!$G$6,M648&lt;=Parametry!$G$7),1,0),0)</f>
        <v>0</v>
      </c>
      <c r="O648" s="13">
        <f>IF(C648="",IF(COUNTA(D648:J648)&gt;0,1,0),IF(OR(COUNTIFS($C$9:$C$1008,C648)&lt;&gt;1,NOT(ISNUMBER(D648)),NOT(ISNUMBER(I648)),L648="",AND(F648&lt;&gt;"",COUNTIFS(Umowy!$C$9:$C$108,F648,Umowy!$D$9:$D$108,L648)&lt;&gt;1)),1,0))</f>
        <v>0</v>
      </c>
      <c r="P648" s="7" t="str">
        <f t="shared" si="28"/>
        <v/>
      </c>
      <c r="Q648" s="7" t="str">
        <f t="shared" si="29"/>
        <v/>
      </c>
    </row>
    <row r="649" spans="1:17" ht="24" customHeight="1">
      <c r="A649" s="7"/>
      <c r="B649" s="7"/>
      <c r="C649" s="3"/>
      <c r="D649" s="2"/>
      <c r="E649" s="3"/>
      <c r="F649" s="3"/>
      <c r="G649" s="3"/>
      <c r="H649" s="3"/>
      <c r="I649" s="6"/>
      <c r="J649" s="3"/>
      <c r="K649" s="7"/>
      <c r="L649" s="13" t="str">
        <f>IF(C649="","",IF(COUNTIFS(Parametry!$C$54:$C$113,E649)=1,INDEX(Parametry!$D$54:$D$113,MATCH(E649,Parametry!$C$54:$C$113,0)),""))</f>
        <v/>
      </c>
      <c r="M649" s="7">
        <f t="shared" ref="M649:M712" si="30">IF(ISNUMBER(D649),MONTH(D649),0)</f>
        <v>0</v>
      </c>
      <c r="N649" s="13">
        <f>IF(AND(ISNUMBER(D649),ISNUMBER(Parametry!$G$6)),IF(AND(YEAR(D649)=Parametry!$G$6,M649&lt;=Parametry!$G$7),1,0),0)</f>
        <v>0</v>
      </c>
      <c r="O649" s="13">
        <f>IF(C649="",IF(COUNTA(D649:J649)&gt;0,1,0),IF(OR(COUNTIFS($C$9:$C$1008,C649)&lt;&gt;1,NOT(ISNUMBER(D649)),NOT(ISNUMBER(I649)),L649="",AND(F649&lt;&gt;"",COUNTIFS(Umowy!$C$9:$C$108,F649,Umowy!$D$9:$D$108,L649)&lt;&gt;1)),1,0))</f>
        <v>0</v>
      </c>
      <c r="P649" s="7" t="str">
        <f t="shared" ref="P649:P712" si="31">IF(O649=0,"",IF(C649="","Missing RowID",IF(COUNTIFS($C$9:$C$1008,C649)&lt;&gt;1,"Duplicate RowID",IF(L649="","Unmapped ERPKey",IF(NOT(ISNUMBER(D649)),"Invalid Date",IF(NOT(ISNUMBER(I649)),"Invalid AmountPLN","CommitmentID / BudgetID"))))))</f>
        <v/>
      </c>
      <c r="Q649" s="7" t="str">
        <f t="shared" ref="Q649:Q712" si="32">IF(C649="","",IF(N649=1,"","Nie ujęto w wykonaniu okresu"))</f>
        <v/>
      </c>
    </row>
    <row r="650" spans="1:17" ht="24" customHeight="1">
      <c r="A650" s="7"/>
      <c r="B650" s="7"/>
      <c r="C650" s="3"/>
      <c r="D650" s="2"/>
      <c r="E650" s="3"/>
      <c r="F650" s="3"/>
      <c r="G650" s="3"/>
      <c r="H650" s="3"/>
      <c r="I650" s="6"/>
      <c r="J650" s="3"/>
      <c r="K650" s="7"/>
      <c r="L650" s="13" t="str">
        <f>IF(C650="","",IF(COUNTIFS(Parametry!$C$54:$C$113,E650)=1,INDEX(Parametry!$D$54:$D$113,MATCH(E650,Parametry!$C$54:$C$113,0)),""))</f>
        <v/>
      </c>
      <c r="M650" s="7">
        <f t="shared" si="30"/>
        <v>0</v>
      </c>
      <c r="N650" s="13">
        <f>IF(AND(ISNUMBER(D650),ISNUMBER(Parametry!$G$6)),IF(AND(YEAR(D650)=Parametry!$G$6,M650&lt;=Parametry!$G$7),1,0),0)</f>
        <v>0</v>
      </c>
      <c r="O650" s="13">
        <f>IF(C650="",IF(COUNTA(D650:J650)&gt;0,1,0),IF(OR(COUNTIFS($C$9:$C$1008,C650)&lt;&gt;1,NOT(ISNUMBER(D650)),NOT(ISNUMBER(I650)),L650="",AND(F650&lt;&gt;"",COUNTIFS(Umowy!$C$9:$C$108,F650,Umowy!$D$9:$D$108,L650)&lt;&gt;1)),1,0))</f>
        <v>0</v>
      </c>
      <c r="P650" s="7" t="str">
        <f t="shared" si="31"/>
        <v/>
      </c>
      <c r="Q650" s="7" t="str">
        <f t="shared" si="32"/>
        <v/>
      </c>
    </row>
    <row r="651" spans="1:17" ht="24" customHeight="1">
      <c r="A651" s="7"/>
      <c r="B651" s="7"/>
      <c r="C651" s="3"/>
      <c r="D651" s="2"/>
      <c r="E651" s="3"/>
      <c r="F651" s="3"/>
      <c r="G651" s="3"/>
      <c r="H651" s="3"/>
      <c r="I651" s="6"/>
      <c r="J651" s="3"/>
      <c r="K651" s="7"/>
      <c r="L651" s="13" t="str">
        <f>IF(C651="","",IF(COUNTIFS(Parametry!$C$54:$C$113,E651)=1,INDEX(Parametry!$D$54:$D$113,MATCH(E651,Parametry!$C$54:$C$113,0)),""))</f>
        <v/>
      </c>
      <c r="M651" s="7">
        <f t="shared" si="30"/>
        <v>0</v>
      </c>
      <c r="N651" s="13">
        <f>IF(AND(ISNUMBER(D651),ISNUMBER(Parametry!$G$6)),IF(AND(YEAR(D651)=Parametry!$G$6,M651&lt;=Parametry!$G$7),1,0),0)</f>
        <v>0</v>
      </c>
      <c r="O651" s="13">
        <f>IF(C651="",IF(COUNTA(D651:J651)&gt;0,1,0),IF(OR(COUNTIFS($C$9:$C$1008,C651)&lt;&gt;1,NOT(ISNUMBER(D651)),NOT(ISNUMBER(I651)),L651="",AND(F651&lt;&gt;"",COUNTIFS(Umowy!$C$9:$C$108,F651,Umowy!$D$9:$D$108,L651)&lt;&gt;1)),1,0))</f>
        <v>0</v>
      </c>
      <c r="P651" s="7" t="str">
        <f t="shared" si="31"/>
        <v/>
      </c>
      <c r="Q651" s="7" t="str">
        <f t="shared" si="32"/>
        <v/>
      </c>
    </row>
    <row r="652" spans="1:17" ht="24" customHeight="1">
      <c r="A652" s="7"/>
      <c r="B652" s="7"/>
      <c r="C652" s="3"/>
      <c r="D652" s="2"/>
      <c r="E652" s="3"/>
      <c r="F652" s="3"/>
      <c r="G652" s="3"/>
      <c r="H652" s="3"/>
      <c r="I652" s="6"/>
      <c r="J652" s="3"/>
      <c r="K652" s="7"/>
      <c r="L652" s="13" t="str">
        <f>IF(C652="","",IF(COUNTIFS(Parametry!$C$54:$C$113,E652)=1,INDEX(Parametry!$D$54:$D$113,MATCH(E652,Parametry!$C$54:$C$113,0)),""))</f>
        <v/>
      </c>
      <c r="M652" s="7">
        <f t="shared" si="30"/>
        <v>0</v>
      </c>
      <c r="N652" s="13">
        <f>IF(AND(ISNUMBER(D652),ISNUMBER(Parametry!$G$6)),IF(AND(YEAR(D652)=Parametry!$G$6,M652&lt;=Parametry!$G$7),1,0),0)</f>
        <v>0</v>
      </c>
      <c r="O652" s="13">
        <f>IF(C652="",IF(COUNTA(D652:J652)&gt;0,1,0),IF(OR(COUNTIFS($C$9:$C$1008,C652)&lt;&gt;1,NOT(ISNUMBER(D652)),NOT(ISNUMBER(I652)),L652="",AND(F652&lt;&gt;"",COUNTIFS(Umowy!$C$9:$C$108,F652,Umowy!$D$9:$D$108,L652)&lt;&gt;1)),1,0))</f>
        <v>0</v>
      </c>
      <c r="P652" s="7" t="str">
        <f t="shared" si="31"/>
        <v/>
      </c>
      <c r="Q652" s="7" t="str">
        <f t="shared" si="32"/>
        <v/>
      </c>
    </row>
    <row r="653" spans="1:17" ht="24" customHeight="1">
      <c r="A653" s="7"/>
      <c r="B653" s="7"/>
      <c r="C653" s="3"/>
      <c r="D653" s="2"/>
      <c r="E653" s="3"/>
      <c r="F653" s="3"/>
      <c r="G653" s="3"/>
      <c r="H653" s="3"/>
      <c r="I653" s="6"/>
      <c r="J653" s="3"/>
      <c r="K653" s="7"/>
      <c r="L653" s="13" t="str">
        <f>IF(C653="","",IF(COUNTIFS(Parametry!$C$54:$C$113,E653)=1,INDEX(Parametry!$D$54:$D$113,MATCH(E653,Parametry!$C$54:$C$113,0)),""))</f>
        <v/>
      </c>
      <c r="M653" s="7">
        <f t="shared" si="30"/>
        <v>0</v>
      </c>
      <c r="N653" s="13">
        <f>IF(AND(ISNUMBER(D653),ISNUMBER(Parametry!$G$6)),IF(AND(YEAR(D653)=Parametry!$G$6,M653&lt;=Parametry!$G$7),1,0),0)</f>
        <v>0</v>
      </c>
      <c r="O653" s="13">
        <f>IF(C653="",IF(COUNTA(D653:J653)&gt;0,1,0),IF(OR(COUNTIFS($C$9:$C$1008,C653)&lt;&gt;1,NOT(ISNUMBER(D653)),NOT(ISNUMBER(I653)),L653="",AND(F653&lt;&gt;"",COUNTIFS(Umowy!$C$9:$C$108,F653,Umowy!$D$9:$D$108,L653)&lt;&gt;1)),1,0))</f>
        <v>0</v>
      </c>
      <c r="P653" s="7" t="str">
        <f t="shared" si="31"/>
        <v/>
      </c>
      <c r="Q653" s="7" t="str">
        <f t="shared" si="32"/>
        <v/>
      </c>
    </row>
    <row r="654" spans="1:17" ht="24" customHeight="1">
      <c r="A654" s="7"/>
      <c r="B654" s="7"/>
      <c r="C654" s="3"/>
      <c r="D654" s="2"/>
      <c r="E654" s="3"/>
      <c r="F654" s="3"/>
      <c r="G654" s="3"/>
      <c r="H654" s="3"/>
      <c r="I654" s="6"/>
      <c r="J654" s="3"/>
      <c r="K654" s="7"/>
      <c r="L654" s="13" t="str">
        <f>IF(C654="","",IF(COUNTIFS(Parametry!$C$54:$C$113,E654)=1,INDEX(Parametry!$D$54:$D$113,MATCH(E654,Parametry!$C$54:$C$113,0)),""))</f>
        <v/>
      </c>
      <c r="M654" s="7">
        <f t="shared" si="30"/>
        <v>0</v>
      </c>
      <c r="N654" s="13">
        <f>IF(AND(ISNUMBER(D654),ISNUMBER(Parametry!$G$6)),IF(AND(YEAR(D654)=Parametry!$G$6,M654&lt;=Parametry!$G$7),1,0),0)</f>
        <v>0</v>
      </c>
      <c r="O654" s="13">
        <f>IF(C654="",IF(COUNTA(D654:J654)&gt;0,1,0),IF(OR(COUNTIFS($C$9:$C$1008,C654)&lt;&gt;1,NOT(ISNUMBER(D654)),NOT(ISNUMBER(I654)),L654="",AND(F654&lt;&gt;"",COUNTIFS(Umowy!$C$9:$C$108,F654,Umowy!$D$9:$D$108,L654)&lt;&gt;1)),1,0))</f>
        <v>0</v>
      </c>
      <c r="P654" s="7" t="str">
        <f t="shared" si="31"/>
        <v/>
      </c>
      <c r="Q654" s="7" t="str">
        <f t="shared" si="32"/>
        <v/>
      </c>
    </row>
    <row r="655" spans="1:17" ht="24" customHeight="1">
      <c r="A655" s="7"/>
      <c r="B655" s="7"/>
      <c r="C655" s="3"/>
      <c r="D655" s="2"/>
      <c r="E655" s="3"/>
      <c r="F655" s="3"/>
      <c r="G655" s="3"/>
      <c r="H655" s="3"/>
      <c r="I655" s="6"/>
      <c r="J655" s="3"/>
      <c r="K655" s="7"/>
      <c r="L655" s="13" t="str">
        <f>IF(C655="","",IF(COUNTIFS(Parametry!$C$54:$C$113,E655)=1,INDEX(Parametry!$D$54:$D$113,MATCH(E655,Parametry!$C$54:$C$113,0)),""))</f>
        <v/>
      </c>
      <c r="M655" s="7">
        <f t="shared" si="30"/>
        <v>0</v>
      </c>
      <c r="N655" s="13">
        <f>IF(AND(ISNUMBER(D655),ISNUMBER(Parametry!$G$6)),IF(AND(YEAR(D655)=Parametry!$G$6,M655&lt;=Parametry!$G$7),1,0),0)</f>
        <v>0</v>
      </c>
      <c r="O655" s="13">
        <f>IF(C655="",IF(COUNTA(D655:J655)&gt;0,1,0),IF(OR(COUNTIFS($C$9:$C$1008,C655)&lt;&gt;1,NOT(ISNUMBER(D655)),NOT(ISNUMBER(I655)),L655="",AND(F655&lt;&gt;"",COUNTIFS(Umowy!$C$9:$C$108,F655,Umowy!$D$9:$D$108,L655)&lt;&gt;1)),1,0))</f>
        <v>0</v>
      </c>
      <c r="P655" s="7" t="str">
        <f t="shared" si="31"/>
        <v/>
      </c>
      <c r="Q655" s="7" t="str">
        <f t="shared" si="32"/>
        <v/>
      </c>
    </row>
    <row r="656" spans="1:17" ht="24" customHeight="1">
      <c r="A656" s="7"/>
      <c r="B656" s="7"/>
      <c r="C656" s="3"/>
      <c r="D656" s="2"/>
      <c r="E656" s="3"/>
      <c r="F656" s="3"/>
      <c r="G656" s="3"/>
      <c r="H656" s="3"/>
      <c r="I656" s="6"/>
      <c r="J656" s="3"/>
      <c r="K656" s="7"/>
      <c r="L656" s="13" t="str">
        <f>IF(C656="","",IF(COUNTIFS(Parametry!$C$54:$C$113,E656)=1,INDEX(Parametry!$D$54:$D$113,MATCH(E656,Parametry!$C$54:$C$113,0)),""))</f>
        <v/>
      </c>
      <c r="M656" s="7">
        <f t="shared" si="30"/>
        <v>0</v>
      </c>
      <c r="N656" s="13">
        <f>IF(AND(ISNUMBER(D656),ISNUMBER(Parametry!$G$6)),IF(AND(YEAR(D656)=Parametry!$G$6,M656&lt;=Parametry!$G$7),1,0),0)</f>
        <v>0</v>
      </c>
      <c r="O656" s="13">
        <f>IF(C656="",IF(COUNTA(D656:J656)&gt;0,1,0),IF(OR(COUNTIFS($C$9:$C$1008,C656)&lt;&gt;1,NOT(ISNUMBER(D656)),NOT(ISNUMBER(I656)),L656="",AND(F656&lt;&gt;"",COUNTIFS(Umowy!$C$9:$C$108,F656,Umowy!$D$9:$D$108,L656)&lt;&gt;1)),1,0))</f>
        <v>0</v>
      </c>
      <c r="P656" s="7" t="str">
        <f t="shared" si="31"/>
        <v/>
      </c>
      <c r="Q656" s="7" t="str">
        <f t="shared" si="32"/>
        <v/>
      </c>
    </row>
    <row r="657" spans="1:17" ht="24" customHeight="1">
      <c r="A657" s="7"/>
      <c r="B657" s="7"/>
      <c r="C657" s="3"/>
      <c r="D657" s="2"/>
      <c r="E657" s="3"/>
      <c r="F657" s="3"/>
      <c r="G657" s="3"/>
      <c r="H657" s="3"/>
      <c r="I657" s="6"/>
      <c r="J657" s="3"/>
      <c r="K657" s="7"/>
      <c r="L657" s="13" t="str">
        <f>IF(C657="","",IF(COUNTIFS(Parametry!$C$54:$C$113,E657)=1,INDEX(Parametry!$D$54:$D$113,MATCH(E657,Parametry!$C$54:$C$113,0)),""))</f>
        <v/>
      </c>
      <c r="M657" s="7">
        <f t="shared" si="30"/>
        <v>0</v>
      </c>
      <c r="N657" s="13">
        <f>IF(AND(ISNUMBER(D657),ISNUMBER(Parametry!$G$6)),IF(AND(YEAR(D657)=Parametry!$G$6,M657&lt;=Parametry!$G$7),1,0),0)</f>
        <v>0</v>
      </c>
      <c r="O657" s="13">
        <f>IF(C657="",IF(COUNTA(D657:J657)&gt;0,1,0),IF(OR(COUNTIFS($C$9:$C$1008,C657)&lt;&gt;1,NOT(ISNUMBER(D657)),NOT(ISNUMBER(I657)),L657="",AND(F657&lt;&gt;"",COUNTIFS(Umowy!$C$9:$C$108,F657,Umowy!$D$9:$D$108,L657)&lt;&gt;1)),1,0))</f>
        <v>0</v>
      </c>
      <c r="P657" s="7" t="str">
        <f t="shared" si="31"/>
        <v/>
      </c>
      <c r="Q657" s="7" t="str">
        <f t="shared" si="32"/>
        <v/>
      </c>
    </row>
    <row r="658" spans="1:17" ht="24" customHeight="1">
      <c r="A658" s="7"/>
      <c r="B658" s="7"/>
      <c r="C658" s="3"/>
      <c r="D658" s="2"/>
      <c r="E658" s="3"/>
      <c r="F658" s="3"/>
      <c r="G658" s="3"/>
      <c r="H658" s="3"/>
      <c r="I658" s="6"/>
      <c r="J658" s="3"/>
      <c r="K658" s="7"/>
      <c r="L658" s="13" t="str">
        <f>IF(C658="","",IF(COUNTIFS(Parametry!$C$54:$C$113,E658)=1,INDEX(Parametry!$D$54:$D$113,MATCH(E658,Parametry!$C$54:$C$113,0)),""))</f>
        <v/>
      </c>
      <c r="M658" s="7">
        <f t="shared" si="30"/>
        <v>0</v>
      </c>
      <c r="N658" s="13">
        <f>IF(AND(ISNUMBER(D658),ISNUMBER(Parametry!$G$6)),IF(AND(YEAR(D658)=Parametry!$G$6,M658&lt;=Parametry!$G$7),1,0),0)</f>
        <v>0</v>
      </c>
      <c r="O658" s="13">
        <f>IF(C658="",IF(COUNTA(D658:J658)&gt;0,1,0),IF(OR(COUNTIFS($C$9:$C$1008,C658)&lt;&gt;1,NOT(ISNUMBER(D658)),NOT(ISNUMBER(I658)),L658="",AND(F658&lt;&gt;"",COUNTIFS(Umowy!$C$9:$C$108,F658,Umowy!$D$9:$D$108,L658)&lt;&gt;1)),1,0))</f>
        <v>0</v>
      </c>
      <c r="P658" s="7" t="str">
        <f t="shared" si="31"/>
        <v/>
      </c>
      <c r="Q658" s="7" t="str">
        <f t="shared" si="32"/>
        <v/>
      </c>
    </row>
    <row r="659" spans="1:17" ht="24" customHeight="1">
      <c r="A659" s="7"/>
      <c r="B659" s="7"/>
      <c r="C659" s="3"/>
      <c r="D659" s="2"/>
      <c r="E659" s="3"/>
      <c r="F659" s="3"/>
      <c r="G659" s="3"/>
      <c r="H659" s="3"/>
      <c r="I659" s="6"/>
      <c r="J659" s="3"/>
      <c r="K659" s="7"/>
      <c r="L659" s="13" t="str">
        <f>IF(C659="","",IF(COUNTIFS(Parametry!$C$54:$C$113,E659)=1,INDEX(Parametry!$D$54:$D$113,MATCH(E659,Parametry!$C$54:$C$113,0)),""))</f>
        <v/>
      </c>
      <c r="M659" s="7">
        <f t="shared" si="30"/>
        <v>0</v>
      </c>
      <c r="N659" s="13">
        <f>IF(AND(ISNUMBER(D659),ISNUMBER(Parametry!$G$6)),IF(AND(YEAR(D659)=Parametry!$G$6,M659&lt;=Parametry!$G$7),1,0),0)</f>
        <v>0</v>
      </c>
      <c r="O659" s="13">
        <f>IF(C659="",IF(COUNTA(D659:J659)&gt;0,1,0),IF(OR(COUNTIFS($C$9:$C$1008,C659)&lt;&gt;1,NOT(ISNUMBER(D659)),NOT(ISNUMBER(I659)),L659="",AND(F659&lt;&gt;"",COUNTIFS(Umowy!$C$9:$C$108,F659,Umowy!$D$9:$D$108,L659)&lt;&gt;1)),1,0))</f>
        <v>0</v>
      </c>
      <c r="P659" s="7" t="str">
        <f t="shared" si="31"/>
        <v/>
      </c>
      <c r="Q659" s="7" t="str">
        <f t="shared" si="32"/>
        <v/>
      </c>
    </row>
    <row r="660" spans="1:17" ht="24" customHeight="1">
      <c r="A660" s="7"/>
      <c r="B660" s="7"/>
      <c r="C660" s="3"/>
      <c r="D660" s="2"/>
      <c r="E660" s="3"/>
      <c r="F660" s="3"/>
      <c r="G660" s="3"/>
      <c r="H660" s="3"/>
      <c r="I660" s="6"/>
      <c r="J660" s="3"/>
      <c r="K660" s="7"/>
      <c r="L660" s="13" t="str">
        <f>IF(C660="","",IF(COUNTIFS(Parametry!$C$54:$C$113,E660)=1,INDEX(Parametry!$D$54:$D$113,MATCH(E660,Parametry!$C$54:$C$113,0)),""))</f>
        <v/>
      </c>
      <c r="M660" s="7">
        <f t="shared" si="30"/>
        <v>0</v>
      </c>
      <c r="N660" s="13">
        <f>IF(AND(ISNUMBER(D660),ISNUMBER(Parametry!$G$6)),IF(AND(YEAR(D660)=Parametry!$G$6,M660&lt;=Parametry!$G$7),1,0),0)</f>
        <v>0</v>
      </c>
      <c r="O660" s="13">
        <f>IF(C660="",IF(COUNTA(D660:J660)&gt;0,1,0),IF(OR(COUNTIFS($C$9:$C$1008,C660)&lt;&gt;1,NOT(ISNUMBER(D660)),NOT(ISNUMBER(I660)),L660="",AND(F660&lt;&gt;"",COUNTIFS(Umowy!$C$9:$C$108,F660,Umowy!$D$9:$D$108,L660)&lt;&gt;1)),1,0))</f>
        <v>0</v>
      </c>
      <c r="P660" s="7" t="str">
        <f t="shared" si="31"/>
        <v/>
      </c>
      <c r="Q660" s="7" t="str">
        <f t="shared" si="32"/>
        <v/>
      </c>
    </row>
    <row r="661" spans="1:17" ht="24" customHeight="1">
      <c r="A661" s="7"/>
      <c r="B661" s="7"/>
      <c r="C661" s="3"/>
      <c r="D661" s="2"/>
      <c r="E661" s="3"/>
      <c r="F661" s="3"/>
      <c r="G661" s="3"/>
      <c r="H661" s="3"/>
      <c r="I661" s="6"/>
      <c r="J661" s="3"/>
      <c r="K661" s="7"/>
      <c r="L661" s="13" t="str">
        <f>IF(C661="","",IF(COUNTIFS(Parametry!$C$54:$C$113,E661)=1,INDEX(Parametry!$D$54:$D$113,MATCH(E661,Parametry!$C$54:$C$113,0)),""))</f>
        <v/>
      </c>
      <c r="M661" s="7">
        <f t="shared" si="30"/>
        <v>0</v>
      </c>
      <c r="N661" s="13">
        <f>IF(AND(ISNUMBER(D661),ISNUMBER(Parametry!$G$6)),IF(AND(YEAR(D661)=Parametry!$G$6,M661&lt;=Parametry!$G$7),1,0),0)</f>
        <v>0</v>
      </c>
      <c r="O661" s="13">
        <f>IF(C661="",IF(COUNTA(D661:J661)&gt;0,1,0),IF(OR(COUNTIFS($C$9:$C$1008,C661)&lt;&gt;1,NOT(ISNUMBER(D661)),NOT(ISNUMBER(I661)),L661="",AND(F661&lt;&gt;"",COUNTIFS(Umowy!$C$9:$C$108,F661,Umowy!$D$9:$D$108,L661)&lt;&gt;1)),1,0))</f>
        <v>0</v>
      </c>
      <c r="P661" s="7" t="str">
        <f t="shared" si="31"/>
        <v/>
      </c>
      <c r="Q661" s="7" t="str">
        <f t="shared" si="32"/>
        <v/>
      </c>
    </row>
    <row r="662" spans="1:17" ht="24" customHeight="1">
      <c r="A662" s="7"/>
      <c r="B662" s="7"/>
      <c r="C662" s="3"/>
      <c r="D662" s="2"/>
      <c r="E662" s="3"/>
      <c r="F662" s="3"/>
      <c r="G662" s="3"/>
      <c r="H662" s="3"/>
      <c r="I662" s="6"/>
      <c r="J662" s="3"/>
      <c r="K662" s="7"/>
      <c r="L662" s="13" t="str">
        <f>IF(C662="","",IF(COUNTIFS(Parametry!$C$54:$C$113,E662)=1,INDEX(Parametry!$D$54:$D$113,MATCH(E662,Parametry!$C$54:$C$113,0)),""))</f>
        <v/>
      </c>
      <c r="M662" s="7">
        <f t="shared" si="30"/>
        <v>0</v>
      </c>
      <c r="N662" s="13">
        <f>IF(AND(ISNUMBER(D662),ISNUMBER(Parametry!$G$6)),IF(AND(YEAR(D662)=Parametry!$G$6,M662&lt;=Parametry!$G$7),1,0),0)</f>
        <v>0</v>
      </c>
      <c r="O662" s="13">
        <f>IF(C662="",IF(COUNTA(D662:J662)&gt;0,1,0),IF(OR(COUNTIFS($C$9:$C$1008,C662)&lt;&gt;1,NOT(ISNUMBER(D662)),NOT(ISNUMBER(I662)),L662="",AND(F662&lt;&gt;"",COUNTIFS(Umowy!$C$9:$C$108,F662,Umowy!$D$9:$D$108,L662)&lt;&gt;1)),1,0))</f>
        <v>0</v>
      </c>
      <c r="P662" s="7" t="str">
        <f t="shared" si="31"/>
        <v/>
      </c>
      <c r="Q662" s="7" t="str">
        <f t="shared" si="32"/>
        <v/>
      </c>
    </row>
    <row r="663" spans="1:17" ht="24" customHeight="1">
      <c r="A663" s="7"/>
      <c r="B663" s="7"/>
      <c r="C663" s="3"/>
      <c r="D663" s="2"/>
      <c r="E663" s="3"/>
      <c r="F663" s="3"/>
      <c r="G663" s="3"/>
      <c r="H663" s="3"/>
      <c r="I663" s="6"/>
      <c r="J663" s="3"/>
      <c r="K663" s="7"/>
      <c r="L663" s="13" t="str">
        <f>IF(C663="","",IF(COUNTIFS(Parametry!$C$54:$C$113,E663)=1,INDEX(Parametry!$D$54:$D$113,MATCH(E663,Parametry!$C$54:$C$113,0)),""))</f>
        <v/>
      </c>
      <c r="M663" s="7">
        <f t="shared" si="30"/>
        <v>0</v>
      </c>
      <c r="N663" s="13">
        <f>IF(AND(ISNUMBER(D663),ISNUMBER(Parametry!$G$6)),IF(AND(YEAR(D663)=Parametry!$G$6,M663&lt;=Parametry!$G$7),1,0),0)</f>
        <v>0</v>
      </c>
      <c r="O663" s="13">
        <f>IF(C663="",IF(COUNTA(D663:J663)&gt;0,1,0),IF(OR(COUNTIFS($C$9:$C$1008,C663)&lt;&gt;1,NOT(ISNUMBER(D663)),NOT(ISNUMBER(I663)),L663="",AND(F663&lt;&gt;"",COUNTIFS(Umowy!$C$9:$C$108,F663,Umowy!$D$9:$D$108,L663)&lt;&gt;1)),1,0))</f>
        <v>0</v>
      </c>
      <c r="P663" s="7" t="str">
        <f t="shared" si="31"/>
        <v/>
      </c>
      <c r="Q663" s="7" t="str">
        <f t="shared" si="32"/>
        <v/>
      </c>
    </row>
    <row r="664" spans="1:17" ht="24" customHeight="1">
      <c r="A664" s="7"/>
      <c r="B664" s="7"/>
      <c r="C664" s="3"/>
      <c r="D664" s="2"/>
      <c r="E664" s="3"/>
      <c r="F664" s="3"/>
      <c r="G664" s="3"/>
      <c r="H664" s="3"/>
      <c r="I664" s="6"/>
      <c r="J664" s="3"/>
      <c r="K664" s="7"/>
      <c r="L664" s="13" t="str">
        <f>IF(C664="","",IF(COUNTIFS(Parametry!$C$54:$C$113,E664)=1,INDEX(Parametry!$D$54:$D$113,MATCH(E664,Parametry!$C$54:$C$113,0)),""))</f>
        <v/>
      </c>
      <c r="M664" s="7">
        <f t="shared" si="30"/>
        <v>0</v>
      </c>
      <c r="N664" s="13">
        <f>IF(AND(ISNUMBER(D664),ISNUMBER(Parametry!$G$6)),IF(AND(YEAR(D664)=Parametry!$G$6,M664&lt;=Parametry!$G$7),1,0),0)</f>
        <v>0</v>
      </c>
      <c r="O664" s="13">
        <f>IF(C664="",IF(COUNTA(D664:J664)&gt;0,1,0),IF(OR(COUNTIFS($C$9:$C$1008,C664)&lt;&gt;1,NOT(ISNUMBER(D664)),NOT(ISNUMBER(I664)),L664="",AND(F664&lt;&gt;"",COUNTIFS(Umowy!$C$9:$C$108,F664,Umowy!$D$9:$D$108,L664)&lt;&gt;1)),1,0))</f>
        <v>0</v>
      </c>
      <c r="P664" s="7" t="str">
        <f t="shared" si="31"/>
        <v/>
      </c>
      <c r="Q664" s="7" t="str">
        <f t="shared" si="32"/>
        <v/>
      </c>
    </row>
    <row r="665" spans="1:17" ht="24" customHeight="1">
      <c r="A665" s="7"/>
      <c r="B665" s="7"/>
      <c r="C665" s="3"/>
      <c r="D665" s="2"/>
      <c r="E665" s="3"/>
      <c r="F665" s="3"/>
      <c r="G665" s="3"/>
      <c r="H665" s="3"/>
      <c r="I665" s="6"/>
      <c r="J665" s="3"/>
      <c r="K665" s="7"/>
      <c r="L665" s="13" t="str">
        <f>IF(C665="","",IF(COUNTIFS(Parametry!$C$54:$C$113,E665)=1,INDEX(Parametry!$D$54:$D$113,MATCH(E665,Parametry!$C$54:$C$113,0)),""))</f>
        <v/>
      </c>
      <c r="M665" s="7">
        <f t="shared" si="30"/>
        <v>0</v>
      </c>
      <c r="N665" s="13">
        <f>IF(AND(ISNUMBER(D665),ISNUMBER(Parametry!$G$6)),IF(AND(YEAR(D665)=Parametry!$G$6,M665&lt;=Parametry!$G$7),1,0),0)</f>
        <v>0</v>
      </c>
      <c r="O665" s="13">
        <f>IF(C665="",IF(COUNTA(D665:J665)&gt;0,1,0),IF(OR(COUNTIFS($C$9:$C$1008,C665)&lt;&gt;1,NOT(ISNUMBER(D665)),NOT(ISNUMBER(I665)),L665="",AND(F665&lt;&gt;"",COUNTIFS(Umowy!$C$9:$C$108,F665,Umowy!$D$9:$D$108,L665)&lt;&gt;1)),1,0))</f>
        <v>0</v>
      </c>
      <c r="P665" s="7" t="str">
        <f t="shared" si="31"/>
        <v/>
      </c>
      <c r="Q665" s="7" t="str">
        <f t="shared" si="32"/>
        <v/>
      </c>
    </row>
    <row r="666" spans="1:17" ht="24" customHeight="1">
      <c r="A666" s="7"/>
      <c r="B666" s="7"/>
      <c r="C666" s="3"/>
      <c r="D666" s="2"/>
      <c r="E666" s="3"/>
      <c r="F666" s="3"/>
      <c r="G666" s="3"/>
      <c r="H666" s="3"/>
      <c r="I666" s="6"/>
      <c r="J666" s="3"/>
      <c r="K666" s="7"/>
      <c r="L666" s="13" t="str">
        <f>IF(C666="","",IF(COUNTIFS(Parametry!$C$54:$C$113,E666)=1,INDEX(Parametry!$D$54:$D$113,MATCH(E666,Parametry!$C$54:$C$113,0)),""))</f>
        <v/>
      </c>
      <c r="M666" s="7">
        <f t="shared" si="30"/>
        <v>0</v>
      </c>
      <c r="N666" s="13">
        <f>IF(AND(ISNUMBER(D666),ISNUMBER(Parametry!$G$6)),IF(AND(YEAR(D666)=Parametry!$G$6,M666&lt;=Parametry!$G$7),1,0),0)</f>
        <v>0</v>
      </c>
      <c r="O666" s="13">
        <f>IF(C666="",IF(COUNTA(D666:J666)&gt;0,1,0),IF(OR(COUNTIFS($C$9:$C$1008,C666)&lt;&gt;1,NOT(ISNUMBER(D666)),NOT(ISNUMBER(I666)),L666="",AND(F666&lt;&gt;"",COUNTIFS(Umowy!$C$9:$C$108,F666,Umowy!$D$9:$D$108,L666)&lt;&gt;1)),1,0))</f>
        <v>0</v>
      </c>
      <c r="P666" s="7" t="str">
        <f t="shared" si="31"/>
        <v/>
      </c>
      <c r="Q666" s="7" t="str">
        <f t="shared" si="32"/>
        <v/>
      </c>
    </row>
    <row r="667" spans="1:17" ht="24" customHeight="1">
      <c r="A667" s="7"/>
      <c r="B667" s="7"/>
      <c r="C667" s="3"/>
      <c r="D667" s="2"/>
      <c r="E667" s="3"/>
      <c r="F667" s="3"/>
      <c r="G667" s="3"/>
      <c r="H667" s="3"/>
      <c r="I667" s="6"/>
      <c r="J667" s="3"/>
      <c r="K667" s="7"/>
      <c r="L667" s="13" t="str">
        <f>IF(C667="","",IF(COUNTIFS(Parametry!$C$54:$C$113,E667)=1,INDEX(Parametry!$D$54:$D$113,MATCH(E667,Parametry!$C$54:$C$113,0)),""))</f>
        <v/>
      </c>
      <c r="M667" s="7">
        <f t="shared" si="30"/>
        <v>0</v>
      </c>
      <c r="N667" s="13">
        <f>IF(AND(ISNUMBER(D667),ISNUMBER(Parametry!$G$6)),IF(AND(YEAR(D667)=Parametry!$G$6,M667&lt;=Parametry!$G$7),1,0),0)</f>
        <v>0</v>
      </c>
      <c r="O667" s="13">
        <f>IF(C667="",IF(COUNTA(D667:J667)&gt;0,1,0),IF(OR(COUNTIFS($C$9:$C$1008,C667)&lt;&gt;1,NOT(ISNUMBER(D667)),NOT(ISNUMBER(I667)),L667="",AND(F667&lt;&gt;"",COUNTIFS(Umowy!$C$9:$C$108,F667,Umowy!$D$9:$D$108,L667)&lt;&gt;1)),1,0))</f>
        <v>0</v>
      </c>
      <c r="P667" s="7" t="str">
        <f t="shared" si="31"/>
        <v/>
      </c>
      <c r="Q667" s="7" t="str">
        <f t="shared" si="32"/>
        <v/>
      </c>
    </row>
    <row r="668" spans="1:17" ht="24" customHeight="1">
      <c r="A668" s="7"/>
      <c r="B668" s="7"/>
      <c r="C668" s="3"/>
      <c r="D668" s="2"/>
      <c r="E668" s="3"/>
      <c r="F668" s="3"/>
      <c r="G668" s="3"/>
      <c r="H668" s="3"/>
      <c r="I668" s="6"/>
      <c r="J668" s="3"/>
      <c r="K668" s="7"/>
      <c r="L668" s="13" t="str">
        <f>IF(C668="","",IF(COUNTIFS(Parametry!$C$54:$C$113,E668)=1,INDEX(Parametry!$D$54:$D$113,MATCH(E668,Parametry!$C$54:$C$113,0)),""))</f>
        <v/>
      </c>
      <c r="M668" s="7">
        <f t="shared" si="30"/>
        <v>0</v>
      </c>
      <c r="N668" s="13">
        <f>IF(AND(ISNUMBER(D668),ISNUMBER(Parametry!$G$6)),IF(AND(YEAR(D668)=Parametry!$G$6,M668&lt;=Parametry!$G$7),1,0),0)</f>
        <v>0</v>
      </c>
      <c r="O668" s="13">
        <f>IF(C668="",IF(COUNTA(D668:J668)&gt;0,1,0),IF(OR(COUNTIFS($C$9:$C$1008,C668)&lt;&gt;1,NOT(ISNUMBER(D668)),NOT(ISNUMBER(I668)),L668="",AND(F668&lt;&gt;"",COUNTIFS(Umowy!$C$9:$C$108,F668,Umowy!$D$9:$D$108,L668)&lt;&gt;1)),1,0))</f>
        <v>0</v>
      </c>
      <c r="P668" s="7" t="str">
        <f t="shared" si="31"/>
        <v/>
      </c>
      <c r="Q668" s="7" t="str">
        <f t="shared" si="32"/>
        <v/>
      </c>
    </row>
    <row r="669" spans="1:17" ht="24" customHeight="1">
      <c r="A669" s="7"/>
      <c r="B669" s="7"/>
      <c r="C669" s="3"/>
      <c r="D669" s="2"/>
      <c r="E669" s="3"/>
      <c r="F669" s="3"/>
      <c r="G669" s="3"/>
      <c r="H669" s="3"/>
      <c r="I669" s="6"/>
      <c r="J669" s="3"/>
      <c r="K669" s="7"/>
      <c r="L669" s="13" t="str">
        <f>IF(C669="","",IF(COUNTIFS(Parametry!$C$54:$C$113,E669)=1,INDEX(Parametry!$D$54:$D$113,MATCH(E669,Parametry!$C$54:$C$113,0)),""))</f>
        <v/>
      </c>
      <c r="M669" s="7">
        <f t="shared" si="30"/>
        <v>0</v>
      </c>
      <c r="N669" s="13">
        <f>IF(AND(ISNUMBER(D669),ISNUMBER(Parametry!$G$6)),IF(AND(YEAR(D669)=Parametry!$G$6,M669&lt;=Parametry!$G$7),1,0),0)</f>
        <v>0</v>
      </c>
      <c r="O669" s="13">
        <f>IF(C669="",IF(COUNTA(D669:J669)&gt;0,1,0),IF(OR(COUNTIFS($C$9:$C$1008,C669)&lt;&gt;1,NOT(ISNUMBER(D669)),NOT(ISNUMBER(I669)),L669="",AND(F669&lt;&gt;"",COUNTIFS(Umowy!$C$9:$C$108,F669,Umowy!$D$9:$D$108,L669)&lt;&gt;1)),1,0))</f>
        <v>0</v>
      </c>
      <c r="P669" s="7" t="str">
        <f t="shared" si="31"/>
        <v/>
      </c>
      <c r="Q669" s="7" t="str">
        <f t="shared" si="32"/>
        <v/>
      </c>
    </row>
    <row r="670" spans="1:17" ht="24" customHeight="1">
      <c r="A670" s="7"/>
      <c r="B670" s="7"/>
      <c r="C670" s="3"/>
      <c r="D670" s="2"/>
      <c r="E670" s="3"/>
      <c r="F670" s="3"/>
      <c r="G670" s="3"/>
      <c r="H670" s="3"/>
      <c r="I670" s="6"/>
      <c r="J670" s="3"/>
      <c r="K670" s="7"/>
      <c r="L670" s="13" t="str">
        <f>IF(C670="","",IF(COUNTIFS(Parametry!$C$54:$C$113,E670)=1,INDEX(Parametry!$D$54:$D$113,MATCH(E670,Parametry!$C$54:$C$113,0)),""))</f>
        <v/>
      </c>
      <c r="M670" s="7">
        <f t="shared" si="30"/>
        <v>0</v>
      </c>
      <c r="N670" s="13">
        <f>IF(AND(ISNUMBER(D670),ISNUMBER(Parametry!$G$6)),IF(AND(YEAR(D670)=Parametry!$G$6,M670&lt;=Parametry!$G$7),1,0),0)</f>
        <v>0</v>
      </c>
      <c r="O670" s="13">
        <f>IF(C670="",IF(COUNTA(D670:J670)&gt;0,1,0),IF(OR(COUNTIFS($C$9:$C$1008,C670)&lt;&gt;1,NOT(ISNUMBER(D670)),NOT(ISNUMBER(I670)),L670="",AND(F670&lt;&gt;"",COUNTIFS(Umowy!$C$9:$C$108,F670,Umowy!$D$9:$D$108,L670)&lt;&gt;1)),1,0))</f>
        <v>0</v>
      </c>
      <c r="P670" s="7" t="str">
        <f t="shared" si="31"/>
        <v/>
      </c>
      <c r="Q670" s="7" t="str">
        <f t="shared" si="32"/>
        <v/>
      </c>
    </row>
    <row r="671" spans="1:17" ht="24" customHeight="1">
      <c r="A671" s="7"/>
      <c r="B671" s="7"/>
      <c r="C671" s="3"/>
      <c r="D671" s="2"/>
      <c r="E671" s="3"/>
      <c r="F671" s="3"/>
      <c r="G671" s="3"/>
      <c r="H671" s="3"/>
      <c r="I671" s="6"/>
      <c r="J671" s="3"/>
      <c r="K671" s="7"/>
      <c r="L671" s="13" t="str">
        <f>IF(C671="","",IF(COUNTIFS(Parametry!$C$54:$C$113,E671)=1,INDEX(Parametry!$D$54:$D$113,MATCH(E671,Parametry!$C$54:$C$113,0)),""))</f>
        <v/>
      </c>
      <c r="M671" s="7">
        <f t="shared" si="30"/>
        <v>0</v>
      </c>
      <c r="N671" s="13">
        <f>IF(AND(ISNUMBER(D671),ISNUMBER(Parametry!$G$6)),IF(AND(YEAR(D671)=Parametry!$G$6,M671&lt;=Parametry!$G$7),1,0),0)</f>
        <v>0</v>
      </c>
      <c r="O671" s="13">
        <f>IF(C671="",IF(COUNTA(D671:J671)&gt;0,1,0),IF(OR(COUNTIFS($C$9:$C$1008,C671)&lt;&gt;1,NOT(ISNUMBER(D671)),NOT(ISNUMBER(I671)),L671="",AND(F671&lt;&gt;"",COUNTIFS(Umowy!$C$9:$C$108,F671,Umowy!$D$9:$D$108,L671)&lt;&gt;1)),1,0))</f>
        <v>0</v>
      </c>
      <c r="P671" s="7" t="str">
        <f t="shared" si="31"/>
        <v/>
      </c>
      <c r="Q671" s="7" t="str">
        <f t="shared" si="32"/>
        <v/>
      </c>
    </row>
    <row r="672" spans="1:17" ht="24" customHeight="1">
      <c r="A672" s="7"/>
      <c r="B672" s="7"/>
      <c r="C672" s="3"/>
      <c r="D672" s="2"/>
      <c r="E672" s="3"/>
      <c r="F672" s="3"/>
      <c r="G672" s="3"/>
      <c r="H672" s="3"/>
      <c r="I672" s="6"/>
      <c r="J672" s="3"/>
      <c r="K672" s="7"/>
      <c r="L672" s="13" t="str">
        <f>IF(C672="","",IF(COUNTIFS(Parametry!$C$54:$C$113,E672)=1,INDEX(Parametry!$D$54:$D$113,MATCH(E672,Parametry!$C$54:$C$113,0)),""))</f>
        <v/>
      </c>
      <c r="M672" s="7">
        <f t="shared" si="30"/>
        <v>0</v>
      </c>
      <c r="N672" s="13">
        <f>IF(AND(ISNUMBER(D672),ISNUMBER(Parametry!$G$6)),IF(AND(YEAR(D672)=Parametry!$G$6,M672&lt;=Parametry!$G$7),1,0),0)</f>
        <v>0</v>
      </c>
      <c r="O672" s="13">
        <f>IF(C672="",IF(COUNTA(D672:J672)&gt;0,1,0),IF(OR(COUNTIFS($C$9:$C$1008,C672)&lt;&gt;1,NOT(ISNUMBER(D672)),NOT(ISNUMBER(I672)),L672="",AND(F672&lt;&gt;"",COUNTIFS(Umowy!$C$9:$C$108,F672,Umowy!$D$9:$D$108,L672)&lt;&gt;1)),1,0))</f>
        <v>0</v>
      </c>
      <c r="P672" s="7" t="str">
        <f t="shared" si="31"/>
        <v/>
      </c>
      <c r="Q672" s="7" t="str">
        <f t="shared" si="32"/>
        <v/>
      </c>
    </row>
    <row r="673" spans="1:17" ht="24" customHeight="1">
      <c r="A673" s="7"/>
      <c r="B673" s="7"/>
      <c r="C673" s="3"/>
      <c r="D673" s="2"/>
      <c r="E673" s="3"/>
      <c r="F673" s="3"/>
      <c r="G673" s="3"/>
      <c r="H673" s="3"/>
      <c r="I673" s="6"/>
      <c r="J673" s="3"/>
      <c r="K673" s="7"/>
      <c r="L673" s="13" t="str">
        <f>IF(C673="","",IF(COUNTIFS(Parametry!$C$54:$C$113,E673)=1,INDEX(Parametry!$D$54:$D$113,MATCH(E673,Parametry!$C$54:$C$113,0)),""))</f>
        <v/>
      </c>
      <c r="M673" s="7">
        <f t="shared" si="30"/>
        <v>0</v>
      </c>
      <c r="N673" s="13">
        <f>IF(AND(ISNUMBER(D673),ISNUMBER(Parametry!$G$6)),IF(AND(YEAR(D673)=Parametry!$G$6,M673&lt;=Parametry!$G$7),1,0),0)</f>
        <v>0</v>
      </c>
      <c r="O673" s="13">
        <f>IF(C673="",IF(COUNTA(D673:J673)&gt;0,1,0),IF(OR(COUNTIFS($C$9:$C$1008,C673)&lt;&gt;1,NOT(ISNUMBER(D673)),NOT(ISNUMBER(I673)),L673="",AND(F673&lt;&gt;"",COUNTIFS(Umowy!$C$9:$C$108,F673,Umowy!$D$9:$D$108,L673)&lt;&gt;1)),1,0))</f>
        <v>0</v>
      </c>
      <c r="P673" s="7" t="str">
        <f t="shared" si="31"/>
        <v/>
      </c>
      <c r="Q673" s="7" t="str">
        <f t="shared" si="32"/>
        <v/>
      </c>
    </row>
    <row r="674" spans="1:17" ht="24" customHeight="1">
      <c r="A674" s="7"/>
      <c r="B674" s="7"/>
      <c r="C674" s="3"/>
      <c r="D674" s="2"/>
      <c r="E674" s="3"/>
      <c r="F674" s="3"/>
      <c r="G674" s="3"/>
      <c r="H674" s="3"/>
      <c r="I674" s="6"/>
      <c r="J674" s="3"/>
      <c r="K674" s="7"/>
      <c r="L674" s="13" t="str">
        <f>IF(C674="","",IF(COUNTIFS(Parametry!$C$54:$C$113,E674)=1,INDEX(Parametry!$D$54:$D$113,MATCH(E674,Parametry!$C$54:$C$113,0)),""))</f>
        <v/>
      </c>
      <c r="M674" s="7">
        <f t="shared" si="30"/>
        <v>0</v>
      </c>
      <c r="N674" s="13">
        <f>IF(AND(ISNUMBER(D674),ISNUMBER(Parametry!$G$6)),IF(AND(YEAR(D674)=Parametry!$G$6,M674&lt;=Parametry!$G$7),1,0),0)</f>
        <v>0</v>
      </c>
      <c r="O674" s="13">
        <f>IF(C674="",IF(COUNTA(D674:J674)&gt;0,1,0),IF(OR(COUNTIFS($C$9:$C$1008,C674)&lt;&gt;1,NOT(ISNUMBER(D674)),NOT(ISNUMBER(I674)),L674="",AND(F674&lt;&gt;"",COUNTIFS(Umowy!$C$9:$C$108,F674,Umowy!$D$9:$D$108,L674)&lt;&gt;1)),1,0))</f>
        <v>0</v>
      </c>
      <c r="P674" s="7" t="str">
        <f t="shared" si="31"/>
        <v/>
      </c>
      <c r="Q674" s="7" t="str">
        <f t="shared" si="32"/>
        <v/>
      </c>
    </row>
    <row r="675" spans="1:17" ht="24" customHeight="1">
      <c r="A675" s="7"/>
      <c r="B675" s="7"/>
      <c r="C675" s="3"/>
      <c r="D675" s="2"/>
      <c r="E675" s="3"/>
      <c r="F675" s="3"/>
      <c r="G675" s="3"/>
      <c r="H675" s="3"/>
      <c r="I675" s="6"/>
      <c r="J675" s="3"/>
      <c r="K675" s="7"/>
      <c r="L675" s="13" t="str">
        <f>IF(C675="","",IF(COUNTIFS(Parametry!$C$54:$C$113,E675)=1,INDEX(Parametry!$D$54:$D$113,MATCH(E675,Parametry!$C$54:$C$113,0)),""))</f>
        <v/>
      </c>
      <c r="M675" s="7">
        <f t="shared" si="30"/>
        <v>0</v>
      </c>
      <c r="N675" s="13">
        <f>IF(AND(ISNUMBER(D675),ISNUMBER(Parametry!$G$6)),IF(AND(YEAR(D675)=Parametry!$G$6,M675&lt;=Parametry!$G$7),1,0),0)</f>
        <v>0</v>
      </c>
      <c r="O675" s="13">
        <f>IF(C675="",IF(COUNTA(D675:J675)&gt;0,1,0),IF(OR(COUNTIFS($C$9:$C$1008,C675)&lt;&gt;1,NOT(ISNUMBER(D675)),NOT(ISNUMBER(I675)),L675="",AND(F675&lt;&gt;"",COUNTIFS(Umowy!$C$9:$C$108,F675,Umowy!$D$9:$D$108,L675)&lt;&gt;1)),1,0))</f>
        <v>0</v>
      </c>
      <c r="P675" s="7" t="str">
        <f t="shared" si="31"/>
        <v/>
      </c>
      <c r="Q675" s="7" t="str">
        <f t="shared" si="32"/>
        <v/>
      </c>
    </row>
    <row r="676" spans="1:17" ht="24" customHeight="1">
      <c r="A676" s="7"/>
      <c r="B676" s="7"/>
      <c r="C676" s="3"/>
      <c r="D676" s="2"/>
      <c r="E676" s="3"/>
      <c r="F676" s="3"/>
      <c r="G676" s="3"/>
      <c r="H676" s="3"/>
      <c r="I676" s="6"/>
      <c r="J676" s="3"/>
      <c r="K676" s="7"/>
      <c r="L676" s="13" t="str">
        <f>IF(C676="","",IF(COUNTIFS(Parametry!$C$54:$C$113,E676)=1,INDEX(Parametry!$D$54:$D$113,MATCH(E676,Parametry!$C$54:$C$113,0)),""))</f>
        <v/>
      </c>
      <c r="M676" s="7">
        <f t="shared" si="30"/>
        <v>0</v>
      </c>
      <c r="N676" s="13">
        <f>IF(AND(ISNUMBER(D676),ISNUMBER(Parametry!$G$6)),IF(AND(YEAR(D676)=Parametry!$G$6,M676&lt;=Parametry!$G$7),1,0),0)</f>
        <v>0</v>
      </c>
      <c r="O676" s="13">
        <f>IF(C676="",IF(COUNTA(D676:J676)&gt;0,1,0),IF(OR(COUNTIFS($C$9:$C$1008,C676)&lt;&gt;1,NOT(ISNUMBER(D676)),NOT(ISNUMBER(I676)),L676="",AND(F676&lt;&gt;"",COUNTIFS(Umowy!$C$9:$C$108,F676,Umowy!$D$9:$D$108,L676)&lt;&gt;1)),1,0))</f>
        <v>0</v>
      </c>
      <c r="P676" s="7" t="str">
        <f t="shared" si="31"/>
        <v/>
      </c>
      <c r="Q676" s="7" t="str">
        <f t="shared" si="32"/>
        <v/>
      </c>
    </row>
    <row r="677" spans="1:17" ht="24" customHeight="1">
      <c r="A677" s="7"/>
      <c r="B677" s="7"/>
      <c r="C677" s="3"/>
      <c r="D677" s="2"/>
      <c r="E677" s="3"/>
      <c r="F677" s="3"/>
      <c r="G677" s="3"/>
      <c r="H677" s="3"/>
      <c r="I677" s="6"/>
      <c r="J677" s="3"/>
      <c r="K677" s="7"/>
      <c r="L677" s="13" t="str">
        <f>IF(C677="","",IF(COUNTIFS(Parametry!$C$54:$C$113,E677)=1,INDEX(Parametry!$D$54:$D$113,MATCH(E677,Parametry!$C$54:$C$113,0)),""))</f>
        <v/>
      </c>
      <c r="M677" s="7">
        <f t="shared" si="30"/>
        <v>0</v>
      </c>
      <c r="N677" s="13">
        <f>IF(AND(ISNUMBER(D677),ISNUMBER(Parametry!$G$6)),IF(AND(YEAR(D677)=Parametry!$G$6,M677&lt;=Parametry!$G$7),1,0),0)</f>
        <v>0</v>
      </c>
      <c r="O677" s="13">
        <f>IF(C677="",IF(COUNTA(D677:J677)&gt;0,1,0),IF(OR(COUNTIFS($C$9:$C$1008,C677)&lt;&gt;1,NOT(ISNUMBER(D677)),NOT(ISNUMBER(I677)),L677="",AND(F677&lt;&gt;"",COUNTIFS(Umowy!$C$9:$C$108,F677,Umowy!$D$9:$D$108,L677)&lt;&gt;1)),1,0))</f>
        <v>0</v>
      </c>
      <c r="P677" s="7" t="str">
        <f t="shared" si="31"/>
        <v/>
      </c>
      <c r="Q677" s="7" t="str">
        <f t="shared" si="32"/>
        <v/>
      </c>
    </row>
    <row r="678" spans="1:17" ht="24" customHeight="1">
      <c r="A678" s="7"/>
      <c r="B678" s="7"/>
      <c r="C678" s="3"/>
      <c r="D678" s="2"/>
      <c r="E678" s="3"/>
      <c r="F678" s="3"/>
      <c r="G678" s="3"/>
      <c r="H678" s="3"/>
      <c r="I678" s="6"/>
      <c r="J678" s="3"/>
      <c r="K678" s="7"/>
      <c r="L678" s="13" t="str">
        <f>IF(C678="","",IF(COUNTIFS(Parametry!$C$54:$C$113,E678)=1,INDEX(Parametry!$D$54:$D$113,MATCH(E678,Parametry!$C$54:$C$113,0)),""))</f>
        <v/>
      </c>
      <c r="M678" s="7">
        <f t="shared" si="30"/>
        <v>0</v>
      </c>
      <c r="N678" s="13">
        <f>IF(AND(ISNUMBER(D678),ISNUMBER(Parametry!$G$6)),IF(AND(YEAR(D678)=Parametry!$G$6,M678&lt;=Parametry!$G$7),1,0),0)</f>
        <v>0</v>
      </c>
      <c r="O678" s="13">
        <f>IF(C678="",IF(COUNTA(D678:J678)&gt;0,1,0),IF(OR(COUNTIFS($C$9:$C$1008,C678)&lt;&gt;1,NOT(ISNUMBER(D678)),NOT(ISNUMBER(I678)),L678="",AND(F678&lt;&gt;"",COUNTIFS(Umowy!$C$9:$C$108,F678,Umowy!$D$9:$D$108,L678)&lt;&gt;1)),1,0))</f>
        <v>0</v>
      </c>
      <c r="P678" s="7" t="str">
        <f t="shared" si="31"/>
        <v/>
      </c>
      <c r="Q678" s="7" t="str">
        <f t="shared" si="32"/>
        <v/>
      </c>
    </row>
    <row r="679" spans="1:17" ht="24" customHeight="1">
      <c r="A679" s="7"/>
      <c r="B679" s="7"/>
      <c r="C679" s="3"/>
      <c r="D679" s="2"/>
      <c r="E679" s="3"/>
      <c r="F679" s="3"/>
      <c r="G679" s="3"/>
      <c r="H679" s="3"/>
      <c r="I679" s="6"/>
      <c r="J679" s="3"/>
      <c r="K679" s="7"/>
      <c r="L679" s="13" t="str">
        <f>IF(C679="","",IF(COUNTIFS(Parametry!$C$54:$C$113,E679)=1,INDEX(Parametry!$D$54:$D$113,MATCH(E679,Parametry!$C$54:$C$113,0)),""))</f>
        <v/>
      </c>
      <c r="M679" s="7">
        <f t="shared" si="30"/>
        <v>0</v>
      </c>
      <c r="N679" s="13">
        <f>IF(AND(ISNUMBER(D679),ISNUMBER(Parametry!$G$6)),IF(AND(YEAR(D679)=Parametry!$G$6,M679&lt;=Parametry!$G$7),1,0),0)</f>
        <v>0</v>
      </c>
      <c r="O679" s="13">
        <f>IF(C679="",IF(COUNTA(D679:J679)&gt;0,1,0),IF(OR(COUNTIFS($C$9:$C$1008,C679)&lt;&gt;1,NOT(ISNUMBER(D679)),NOT(ISNUMBER(I679)),L679="",AND(F679&lt;&gt;"",COUNTIFS(Umowy!$C$9:$C$108,F679,Umowy!$D$9:$D$108,L679)&lt;&gt;1)),1,0))</f>
        <v>0</v>
      </c>
      <c r="P679" s="7" t="str">
        <f t="shared" si="31"/>
        <v/>
      </c>
      <c r="Q679" s="7" t="str">
        <f t="shared" si="32"/>
        <v/>
      </c>
    </row>
    <row r="680" spans="1:17" ht="24" customHeight="1">
      <c r="A680" s="7"/>
      <c r="B680" s="7"/>
      <c r="C680" s="3"/>
      <c r="D680" s="2"/>
      <c r="E680" s="3"/>
      <c r="F680" s="3"/>
      <c r="G680" s="3"/>
      <c r="H680" s="3"/>
      <c r="I680" s="6"/>
      <c r="J680" s="3"/>
      <c r="K680" s="7"/>
      <c r="L680" s="13" t="str">
        <f>IF(C680="","",IF(COUNTIFS(Parametry!$C$54:$C$113,E680)=1,INDEX(Parametry!$D$54:$D$113,MATCH(E680,Parametry!$C$54:$C$113,0)),""))</f>
        <v/>
      </c>
      <c r="M680" s="7">
        <f t="shared" si="30"/>
        <v>0</v>
      </c>
      <c r="N680" s="13">
        <f>IF(AND(ISNUMBER(D680),ISNUMBER(Parametry!$G$6)),IF(AND(YEAR(D680)=Parametry!$G$6,M680&lt;=Parametry!$G$7),1,0),0)</f>
        <v>0</v>
      </c>
      <c r="O680" s="13">
        <f>IF(C680="",IF(COUNTA(D680:J680)&gt;0,1,0),IF(OR(COUNTIFS($C$9:$C$1008,C680)&lt;&gt;1,NOT(ISNUMBER(D680)),NOT(ISNUMBER(I680)),L680="",AND(F680&lt;&gt;"",COUNTIFS(Umowy!$C$9:$C$108,F680,Umowy!$D$9:$D$108,L680)&lt;&gt;1)),1,0))</f>
        <v>0</v>
      </c>
      <c r="P680" s="7" t="str">
        <f t="shared" si="31"/>
        <v/>
      </c>
      <c r="Q680" s="7" t="str">
        <f t="shared" si="32"/>
        <v/>
      </c>
    </row>
    <row r="681" spans="1:17" ht="24" customHeight="1">
      <c r="A681" s="7"/>
      <c r="B681" s="7"/>
      <c r="C681" s="3"/>
      <c r="D681" s="2"/>
      <c r="E681" s="3"/>
      <c r="F681" s="3"/>
      <c r="G681" s="3"/>
      <c r="H681" s="3"/>
      <c r="I681" s="6"/>
      <c r="J681" s="3"/>
      <c r="K681" s="7"/>
      <c r="L681" s="13" t="str">
        <f>IF(C681="","",IF(COUNTIFS(Parametry!$C$54:$C$113,E681)=1,INDEX(Parametry!$D$54:$D$113,MATCH(E681,Parametry!$C$54:$C$113,0)),""))</f>
        <v/>
      </c>
      <c r="M681" s="7">
        <f t="shared" si="30"/>
        <v>0</v>
      </c>
      <c r="N681" s="13">
        <f>IF(AND(ISNUMBER(D681),ISNUMBER(Parametry!$G$6)),IF(AND(YEAR(D681)=Parametry!$G$6,M681&lt;=Parametry!$G$7),1,0),0)</f>
        <v>0</v>
      </c>
      <c r="O681" s="13">
        <f>IF(C681="",IF(COUNTA(D681:J681)&gt;0,1,0),IF(OR(COUNTIFS($C$9:$C$1008,C681)&lt;&gt;1,NOT(ISNUMBER(D681)),NOT(ISNUMBER(I681)),L681="",AND(F681&lt;&gt;"",COUNTIFS(Umowy!$C$9:$C$108,F681,Umowy!$D$9:$D$108,L681)&lt;&gt;1)),1,0))</f>
        <v>0</v>
      </c>
      <c r="P681" s="7" t="str">
        <f t="shared" si="31"/>
        <v/>
      </c>
      <c r="Q681" s="7" t="str">
        <f t="shared" si="32"/>
        <v/>
      </c>
    </row>
    <row r="682" spans="1:17" ht="24" customHeight="1">
      <c r="A682" s="7"/>
      <c r="B682" s="7"/>
      <c r="C682" s="3"/>
      <c r="D682" s="2"/>
      <c r="E682" s="3"/>
      <c r="F682" s="3"/>
      <c r="G682" s="3"/>
      <c r="H682" s="3"/>
      <c r="I682" s="6"/>
      <c r="J682" s="3"/>
      <c r="K682" s="7"/>
      <c r="L682" s="13" t="str">
        <f>IF(C682="","",IF(COUNTIFS(Parametry!$C$54:$C$113,E682)=1,INDEX(Parametry!$D$54:$D$113,MATCH(E682,Parametry!$C$54:$C$113,0)),""))</f>
        <v/>
      </c>
      <c r="M682" s="7">
        <f t="shared" si="30"/>
        <v>0</v>
      </c>
      <c r="N682" s="13">
        <f>IF(AND(ISNUMBER(D682),ISNUMBER(Parametry!$G$6)),IF(AND(YEAR(D682)=Parametry!$G$6,M682&lt;=Parametry!$G$7),1,0),0)</f>
        <v>0</v>
      </c>
      <c r="O682" s="13">
        <f>IF(C682="",IF(COUNTA(D682:J682)&gt;0,1,0),IF(OR(COUNTIFS($C$9:$C$1008,C682)&lt;&gt;1,NOT(ISNUMBER(D682)),NOT(ISNUMBER(I682)),L682="",AND(F682&lt;&gt;"",COUNTIFS(Umowy!$C$9:$C$108,F682,Umowy!$D$9:$D$108,L682)&lt;&gt;1)),1,0))</f>
        <v>0</v>
      </c>
      <c r="P682" s="7" t="str">
        <f t="shared" si="31"/>
        <v/>
      </c>
      <c r="Q682" s="7" t="str">
        <f t="shared" si="32"/>
        <v/>
      </c>
    </row>
    <row r="683" spans="1:17" ht="24" customHeight="1">
      <c r="A683" s="7"/>
      <c r="B683" s="7"/>
      <c r="C683" s="3"/>
      <c r="D683" s="2"/>
      <c r="E683" s="3"/>
      <c r="F683" s="3"/>
      <c r="G683" s="3"/>
      <c r="H683" s="3"/>
      <c r="I683" s="6"/>
      <c r="J683" s="3"/>
      <c r="K683" s="7"/>
      <c r="L683" s="13" t="str">
        <f>IF(C683="","",IF(COUNTIFS(Parametry!$C$54:$C$113,E683)=1,INDEX(Parametry!$D$54:$D$113,MATCH(E683,Parametry!$C$54:$C$113,0)),""))</f>
        <v/>
      </c>
      <c r="M683" s="7">
        <f t="shared" si="30"/>
        <v>0</v>
      </c>
      <c r="N683" s="13">
        <f>IF(AND(ISNUMBER(D683),ISNUMBER(Parametry!$G$6)),IF(AND(YEAR(D683)=Parametry!$G$6,M683&lt;=Parametry!$G$7),1,0),0)</f>
        <v>0</v>
      </c>
      <c r="O683" s="13">
        <f>IF(C683="",IF(COUNTA(D683:J683)&gt;0,1,0),IF(OR(COUNTIFS($C$9:$C$1008,C683)&lt;&gt;1,NOT(ISNUMBER(D683)),NOT(ISNUMBER(I683)),L683="",AND(F683&lt;&gt;"",COUNTIFS(Umowy!$C$9:$C$108,F683,Umowy!$D$9:$D$108,L683)&lt;&gt;1)),1,0))</f>
        <v>0</v>
      </c>
      <c r="P683" s="7" t="str">
        <f t="shared" si="31"/>
        <v/>
      </c>
      <c r="Q683" s="7" t="str">
        <f t="shared" si="32"/>
        <v/>
      </c>
    </row>
    <row r="684" spans="1:17" ht="24" customHeight="1">
      <c r="A684" s="7"/>
      <c r="B684" s="7"/>
      <c r="C684" s="3"/>
      <c r="D684" s="2"/>
      <c r="E684" s="3"/>
      <c r="F684" s="3"/>
      <c r="G684" s="3"/>
      <c r="H684" s="3"/>
      <c r="I684" s="6"/>
      <c r="J684" s="3"/>
      <c r="K684" s="7"/>
      <c r="L684" s="13" t="str">
        <f>IF(C684="","",IF(COUNTIFS(Parametry!$C$54:$C$113,E684)=1,INDEX(Parametry!$D$54:$D$113,MATCH(E684,Parametry!$C$54:$C$113,0)),""))</f>
        <v/>
      </c>
      <c r="M684" s="7">
        <f t="shared" si="30"/>
        <v>0</v>
      </c>
      <c r="N684" s="13">
        <f>IF(AND(ISNUMBER(D684),ISNUMBER(Parametry!$G$6)),IF(AND(YEAR(D684)=Parametry!$G$6,M684&lt;=Parametry!$G$7),1,0),0)</f>
        <v>0</v>
      </c>
      <c r="O684" s="13">
        <f>IF(C684="",IF(COUNTA(D684:J684)&gt;0,1,0),IF(OR(COUNTIFS($C$9:$C$1008,C684)&lt;&gt;1,NOT(ISNUMBER(D684)),NOT(ISNUMBER(I684)),L684="",AND(F684&lt;&gt;"",COUNTIFS(Umowy!$C$9:$C$108,F684,Umowy!$D$9:$D$108,L684)&lt;&gt;1)),1,0))</f>
        <v>0</v>
      </c>
      <c r="P684" s="7" t="str">
        <f t="shared" si="31"/>
        <v/>
      </c>
      <c r="Q684" s="7" t="str">
        <f t="shared" si="32"/>
        <v/>
      </c>
    </row>
    <row r="685" spans="1:17" ht="24" customHeight="1">
      <c r="A685" s="7"/>
      <c r="B685" s="7"/>
      <c r="C685" s="3"/>
      <c r="D685" s="2"/>
      <c r="E685" s="3"/>
      <c r="F685" s="3"/>
      <c r="G685" s="3"/>
      <c r="H685" s="3"/>
      <c r="I685" s="6"/>
      <c r="J685" s="3"/>
      <c r="K685" s="7"/>
      <c r="L685" s="13" t="str">
        <f>IF(C685="","",IF(COUNTIFS(Parametry!$C$54:$C$113,E685)=1,INDEX(Parametry!$D$54:$D$113,MATCH(E685,Parametry!$C$54:$C$113,0)),""))</f>
        <v/>
      </c>
      <c r="M685" s="7">
        <f t="shared" si="30"/>
        <v>0</v>
      </c>
      <c r="N685" s="13">
        <f>IF(AND(ISNUMBER(D685),ISNUMBER(Parametry!$G$6)),IF(AND(YEAR(D685)=Parametry!$G$6,M685&lt;=Parametry!$G$7),1,0),0)</f>
        <v>0</v>
      </c>
      <c r="O685" s="13">
        <f>IF(C685="",IF(COUNTA(D685:J685)&gt;0,1,0),IF(OR(COUNTIFS($C$9:$C$1008,C685)&lt;&gt;1,NOT(ISNUMBER(D685)),NOT(ISNUMBER(I685)),L685="",AND(F685&lt;&gt;"",COUNTIFS(Umowy!$C$9:$C$108,F685,Umowy!$D$9:$D$108,L685)&lt;&gt;1)),1,0))</f>
        <v>0</v>
      </c>
      <c r="P685" s="7" t="str">
        <f t="shared" si="31"/>
        <v/>
      </c>
      <c r="Q685" s="7" t="str">
        <f t="shared" si="32"/>
        <v/>
      </c>
    </row>
    <row r="686" spans="1:17" ht="24" customHeight="1">
      <c r="A686" s="7"/>
      <c r="B686" s="7"/>
      <c r="C686" s="3"/>
      <c r="D686" s="2"/>
      <c r="E686" s="3"/>
      <c r="F686" s="3"/>
      <c r="G686" s="3"/>
      <c r="H686" s="3"/>
      <c r="I686" s="6"/>
      <c r="J686" s="3"/>
      <c r="K686" s="7"/>
      <c r="L686" s="13" t="str">
        <f>IF(C686="","",IF(COUNTIFS(Parametry!$C$54:$C$113,E686)=1,INDEX(Parametry!$D$54:$D$113,MATCH(E686,Parametry!$C$54:$C$113,0)),""))</f>
        <v/>
      </c>
      <c r="M686" s="7">
        <f t="shared" si="30"/>
        <v>0</v>
      </c>
      <c r="N686" s="13">
        <f>IF(AND(ISNUMBER(D686),ISNUMBER(Parametry!$G$6)),IF(AND(YEAR(D686)=Parametry!$G$6,M686&lt;=Parametry!$G$7),1,0),0)</f>
        <v>0</v>
      </c>
      <c r="O686" s="13">
        <f>IF(C686="",IF(COUNTA(D686:J686)&gt;0,1,0),IF(OR(COUNTIFS($C$9:$C$1008,C686)&lt;&gt;1,NOT(ISNUMBER(D686)),NOT(ISNUMBER(I686)),L686="",AND(F686&lt;&gt;"",COUNTIFS(Umowy!$C$9:$C$108,F686,Umowy!$D$9:$D$108,L686)&lt;&gt;1)),1,0))</f>
        <v>0</v>
      </c>
      <c r="P686" s="7" t="str">
        <f t="shared" si="31"/>
        <v/>
      </c>
      <c r="Q686" s="7" t="str">
        <f t="shared" si="32"/>
        <v/>
      </c>
    </row>
    <row r="687" spans="1:17" ht="24" customHeight="1">
      <c r="A687" s="7"/>
      <c r="B687" s="7"/>
      <c r="C687" s="3"/>
      <c r="D687" s="2"/>
      <c r="E687" s="3"/>
      <c r="F687" s="3"/>
      <c r="G687" s="3"/>
      <c r="H687" s="3"/>
      <c r="I687" s="6"/>
      <c r="J687" s="3"/>
      <c r="K687" s="7"/>
      <c r="L687" s="13" t="str">
        <f>IF(C687="","",IF(COUNTIFS(Parametry!$C$54:$C$113,E687)=1,INDEX(Parametry!$D$54:$D$113,MATCH(E687,Parametry!$C$54:$C$113,0)),""))</f>
        <v/>
      </c>
      <c r="M687" s="7">
        <f t="shared" si="30"/>
        <v>0</v>
      </c>
      <c r="N687" s="13">
        <f>IF(AND(ISNUMBER(D687),ISNUMBER(Parametry!$G$6)),IF(AND(YEAR(D687)=Parametry!$G$6,M687&lt;=Parametry!$G$7),1,0),0)</f>
        <v>0</v>
      </c>
      <c r="O687" s="13">
        <f>IF(C687="",IF(COUNTA(D687:J687)&gt;0,1,0),IF(OR(COUNTIFS($C$9:$C$1008,C687)&lt;&gt;1,NOT(ISNUMBER(D687)),NOT(ISNUMBER(I687)),L687="",AND(F687&lt;&gt;"",COUNTIFS(Umowy!$C$9:$C$108,F687,Umowy!$D$9:$D$108,L687)&lt;&gt;1)),1,0))</f>
        <v>0</v>
      </c>
      <c r="P687" s="7" t="str">
        <f t="shared" si="31"/>
        <v/>
      </c>
      <c r="Q687" s="7" t="str">
        <f t="shared" si="32"/>
        <v/>
      </c>
    </row>
    <row r="688" spans="1:17" ht="24" customHeight="1">
      <c r="A688" s="7"/>
      <c r="B688" s="7"/>
      <c r="C688" s="3"/>
      <c r="D688" s="2"/>
      <c r="E688" s="3"/>
      <c r="F688" s="3"/>
      <c r="G688" s="3"/>
      <c r="H688" s="3"/>
      <c r="I688" s="6"/>
      <c r="J688" s="3"/>
      <c r="K688" s="7"/>
      <c r="L688" s="13" t="str">
        <f>IF(C688="","",IF(COUNTIFS(Parametry!$C$54:$C$113,E688)=1,INDEX(Parametry!$D$54:$D$113,MATCH(E688,Parametry!$C$54:$C$113,0)),""))</f>
        <v/>
      </c>
      <c r="M688" s="7">
        <f t="shared" si="30"/>
        <v>0</v>
      </c>
      <c r="N688" s="13">
        <f>IF(AND(ISNUMBER(D688),ISNUMBER(Parametry!$G$6)),IF(AND(YEAR(D688)=Parametry!$G$6,M688&lt;=Parametry!$G$7),1,0),0)</f>
        <v>0</v>
      </c>
      <c r="O688" s="13">
        <f>IF(C688="",IF(COUNTA(D688:J688)&gt;0,1,0),IF(OR(COUNTIFS($C$9:$C$1008,C688)&lt;&gt;1,NOT(ISNUMBER(D688)),NOT(ISNUMBER(I688)),L688="",AND(F688&lt;&gt;"",COUNTIFS(Umowy!$C$9:$C$108,F688,Umowy!$D$9:$D$108,L688)&lt;&gt;1)),1,0))</f>
        <v>0</v>
      </c>
      <c r="P688" s="7" t="str">
        <f t="shared" si="31"/>
        <v/>
      </c>
      <c r="Q688" s="7" t="str">
        <f t="shared" si="32"/>
        <v/>
      </c>
    </row>
    <row r="689" spans="1:17" ht="24" customHeight="1">
      <c r="A689" s="7"/>
      <c r="B689" s="7"/>
      <c r="C689" s="3"/>
      <c r="D689" s="2"/>
      <c r="E689" s="3"/>
      <c r="F689" s="3"/>
      <c r="G689" s="3"/>
      <c r="H689" s="3"/>
      <c r="I689" s="6"/>
      <c r="J689" s="3"/>
      <c r="K689" s="7"/>
      <c r="L689" s="13" t="str">
        <f>IF(C689="","",IF(COUNTIFS(Parametry!$C$54:$C$113,E689)=1,INDEX(Parametry!$D$54:$D$113,MATCH(E689,Parametry!$C$54:$C$113,0)),""))</f>
        <v/>
      </c>
      <c r="M689" s="7">
        <f t="shared" si="30"/>
        <v>0</v>
      </c>
      <c r="N689" s="13">
        <f>IF(AND(ISNUMBER(D689),ISNUMBER(Parametry!$G$6)),IF(AND(YEAR(D689)=Parametry!$G$6,M689&lt;=Parametry!$G$7),1,0),0)</f>
        <v>0</v>
      </c>
      <c r="O689" s="13">
        <f>IF(C689="",IF(COUNTA(D689:J689)&gt;0,1,0),IF(OR(COUNTIFS($C$9:$C$1008,C689)&lt;&gt;1,NOT(ISNUMBER(D689)),NOT(ISNUMBER(I689)),L689="",AND(F689&lt;&gt;"",COUNTIFS(Umowy!$C$9:$C$108,F689,Umowy!$D$9:$D$108,L689)&lt;&gt;1)),1,0))</f>
        <v>0</v>
      </c>
      <c r="P689" s="7" t="str">
        <f t="shared" si="31"/>
        <v/>
      </c>
      <c r="Q689" s="7" t="str">
        <f t="shared" si="32"/>
        <v/>
      </c>
    </row>
    <row r="690" spans="1:17" ht="24" customHeight="1">
      <c r="A690" s="7"/>
      <c r="B690" s="7"/>
      <c r="C690" s="3"/>
      <c r="D690" s="2"/>
      <c r="E690" s="3"/>
      <c r="F690" s="3"/>
      <c r="G690" s="3"/>
      <c r="H690" s="3"/>
      <c r="I690" s="6"/>
      <c r="J690" s="3"/>
      <c r="K690" s="7"/>
      <c r="L690" s="13" t="str">
        <f>IF(C690="","",IF(COUNTIFS(Parametry!$C$54:$C$113,E690)=1,INDEX(Parametry!$D$54:$D$113,MATCH(E690,Parametry!$C$54:$C$113,0)),""))</f>
        <v/>
      </c>
      <c r="M690" s="7">
        <f t="shared" si="30"/>
        <v>0</v>
      </c>
      <c r="N690" s="13">
        <f>IF(AND(ISNUMBER(D690),ISNUMBER(Parametry!$G$6)),IF(AND(YEAR(D690)=Parametry!$G$6,M690&lt;=Parametry!$G$7),1,0),0)</f>
        <v>0</v>
      </c>
      <c r="O690" s="13">
        <f>IF(C690="",IF(COUNTA(D690:J690)&gt;0,1,0),IF(OR(COUNTIFS($C$9:$C$1008,C690)&lt;&gt;1,NOT(ISNUMBER(D690)),NOT(ISNUMBER(I690)),L690="",AND(F690&lt;&gt;"",COUNTIFS(Umowy!$C$9:$C$108,F690,Umowy!$D$9:$D$108,L690)&lt;&gt;1)),1,0))</f>
        <v>0</v>
      </c>
      <c r="P690" s="7" t="str">
        <f t="shared" si="31"/>
        <v/>
      </c>
      <c r="Q690" s="7" t="str">
        <f t="shared" si="32"/>
        <v/>
      </c>
    </row>
    <row r="691" spans="1:17" ht="24" customHeight="1">
      <c r="A691" s="7"/>
      <c r="B691" s="7"/>
      <c r="C691" s="3"/>
      <c r="D691" s="2"/>
      <c r="E691" s="3"/>
      <c r="F691" s="3"/>
      <c r="G691" s="3"/>
      <c r="H691" s="3"/>
      <c r="I691" s="6"/>
      <c r="J691" s="3"/>
      <c r="K691" s="7"/>
      <c r="L691" s="13" t="str">
        <f>IF(C691="","",IF(COUNTIFS(Parametry!$C$54:$C$113,E691)=1,INDEX(Parametry!$D$54:$D$113,MATCH(E691,Parametry!$C$54:$C$113,0)),""))</f>
        <v/>
      </c>
      <c r="M691" s="7">
        <f t="shared" si="30"/>
        <v>0</v>
      </c>
      <c r="N691" s="13">
        <f>IF(AND(ISNUMBER(D691),ISNUMBER(Parametry!$G$6)),IF(AND(YEAR(D691)=Parametry!$G$6,M691&lt;=Parametry!$G$7),1,0),0)</f>
        <v>0</v>
      </c>
      <c r="O691" s="13">
        <f>IF(C691="",IF(COUNTA(D691:J691)&gt;0,1,0),IF(OR(COUNTIFS($C$9:$C$1008,C691)&lt;&gt;1,NOT(ISNUMBER(D691)),NOT(ISNUMBER(I691)),L691="",AND(F691&lt;&gt;"",COUNTIFS(Umowy!$C$9:$C$108,F691,Umowy!$D$9:$D$108,L691)&lt;&gt;1)),1,0))</f>
        <v>0</v>
      </c>
      <c r="P691" s="7" t="str">
        <f t="shared" si="31"/>
        <v/>
      </c>
      <c r="Q691" s="7" t="str">
        <f t="shared" si="32"/>
        <v/>
      </c>
    </row>
    <row r="692" spans="1:17" ht="24" customHeight="1">
      <c r="A692" s="7"/>
      <c r="B692" s="7"/>
      <c r="C692" s="3"/>
      <c r="D692" s="2"/>
      <c r="E692" s="3"/>
      <c r="F692" s="3"/>
      <c r="G692" s="3"/>
      <c r="H692" s="3"/>
      <c r="I692" s="6"/>
      <c r="J692" s="3"/>
      <c r="K692" s="7"/>
      <c r="L692" s="13" t="str">
        <f>IF(C692="","",IF(COUNTIFS(Parametry!$C$54:$C$113,E692)=1,INDEX(Parametry!$D$54:$D$113,MATCH(E692,Parametry!$C$54:$C$113,0)),""))</f>
        <v/>
      </c>
      <c r="M692" s="7">
        <f t="shared" si="30"/>
        <v>0</v>
      </c>
      <c r="N692" s="13">
        <f>IF(AND(ISNUMBER(D692),ISNUMBER(Parametry!$G$6)),IF(AND(YEAR(D692)=Parametry!$G$6,M692&lt;=Parametry!$G$7),1,0),0)</f>
        <v>0</v>
      </c>
      <c r="O692" s="13">
        <f>IF(C692="",IF(COUNTA(D692:J692)&gt;0,1,0),IF(OR(COUNTIFS($C$9:$C$1008,C692)&lt;&gt;1,NOT(ISNUMBER(D692)),NOT(ISNUMBER(I692)),L692="",AND(F692&lt;&gt;"",COUNTIFS(Umowy!$C$9:$C$108,F692,Umowy!$D$9:$D$108,L692)&lt;&gt;1)),1,0))</f>
        <v>0</v>
      </c>
      <c r="P692" s="7" t="str">
        <f t="shared" si="31"/>
        <v/>
      </c>
      <c r="Q692" s="7" t="str">
        <f t="shared" si="32"/>
        <v/>
      </c>
    </row>
    <row r="693" spans="1:17" ht="24" customHeight="1">
      <c r="A693" s="7"/>
      <c r="B693" s="7"/>
      <c r="C693" s="3"/>
      <c r="D693" s="2"/>
      <c r="E693" s="3"/>
      <c r="F693" s="3"/>
      <c r="G693" s="3"/>
      <c r="H693" s="3"/>
      <c r="I693" s="6"/>
      <c r="J693" s="3"/>
      <c r="K693" s="7"/>
      <c r="L693" s="13" t="str">
        <f>IF(C693="","",IF(COUNTIFS(Parametry!$C$54:$C$113,E693)=1,INDEX(Parametry!$D$54:$D$113,MATCH(E693,Parametry!$C$54:$C$113,0)),""))</f>
        <v/>
      </c>
      <c r="M693" s="7">
        <f t="shared" si="30"/>
        <v>0</v>
      </c>
      <c r="N693" s="13">
        <f>IF(AND(ISNUMBER(D693),ISNUMBER(Parametry!$G$6)),IF(AND(YEAR(D693)=Parametry!$G$6,M693&lt;=Parametry!$G$7),1,0),0)</f>
        <v>0</v>
      </c>
      <c r="O693" s="13">
        <f>IF(C693="",IF(COUNTA(D693:J693)&gt;0,1,0),IF(OR(COUNTIFS($C$9:$C$1008,C693)&lt;&gt;1,NOT(ISNUMBER(D693)),NOT(ISNUMBER(I693)),L693="",AND(F693&lt;&gt;"",COUNTIFS(Umowy!$C$9:$C$108,F693,Umowy!$D$9:$D$108,L693)&lt;&gt;1)),1,0))</f>
        <v>0</v>
      </c>
      <c r="P693" s="7" t="str">
        <f t="shared" si="31"/>
        <v/>
      </c>
      <c r="Q693" s="7" t="str">
        <f t="shared" si="32"/>
        <v/>
      </c>
    </row>
    <row r="694" spans="1:17" ht="24" customHeight="1">
      <c r="A694" s="7"/>
      <c r="B694" s="7"/>
      <c r="C694" s="3"/>
      <c r="D694" s="2"/>
      <c r="E694" s="3"/>
      <c r="F694" s="3"/>
      <c r="G694" s="3"/>
      <c r="H694" s="3"/>
      <c r="I694" s="6"/>
      <c r="J694" s="3"/>
      <c r="K694" s="7"/>
      <c r="L694" s="13" t="str">
        <f>IF(C694="","",IF(COUNTIFS(Parametry!$C$54:$C$113,E694)=1,INDEX(Parametry!$D$54:$D$113,MATCH(E694,Parametry!$C$54:$C$113,0)),""))</f>
        <v/>
      </c>
      <c r="M694" s="7">
        <f t="shared" si="30"/>
        <v>0</v>
      </c>
      <c r="N694" s="13">
        <f>IF(AND(ISNUMBER(D694),ISNUMBER(Parametry!$G$6)),IF(AND(YEAR(D694)=Parametry!$G$6,M694&lt;=Parametry!$G$7),1,0),0)</f>
        <v>0</v>
      </c>
      <c r="O694" s="13">
        <f>IF(C694="",IF(COUNTA(D694:J694)&gt;0,1,0),IF(OR(COUNTIFS($C$9:$C$1008,C694)&lt;&gt;1,NOT(ISNUMBER(D694)),NOT(ISNUMBER(I694)),L694="",AND(F694&lt;&gt;"",COUNTIFS(Umowy!$C$9:$C$108,F694,Umowy!$D$9:$D$108,L694)&lt;&gt;1)),1,0))</f>
        <v>0</v>
      </c>
      <c r="P694" s="7" t="str">
        <f t="shared" si="31"/>
        <v/>
      </c>
      <c r="Q694" s="7" t="str">
        <f t="shared" si="32"/>
        <v/>
      </c>
    </row>
    <row r="695" spans="1:17" ht="24" customHeight="1">
      <c r="A695" s="7"/>
      <c r="B695" s="7"/>
      <c r="C695" s="3"/>
      <c r="D695" s="2"/>
      <c r="E695" s="3"/>
      <c r="F695" s="3"/>
      <c r="G695" s="3"/>
      <c r="H695" s="3"/>
      <c r="I695" s="6"/>
      <c r="J695" s="3"/>
      <c r="K695" s="7"/>
      <c r="L695" s="13" t="str">
        <f>IF(C695="","",IF(COUNTIFS(Parametry!$C$54:$C$113,E695)=1,INDEX(Parametry!$D$54:$D$113,MATCH(E695,Parametry!$C$54:$C$113,0)),""))</f>
        <v/>
      </c>
      <c r="M695" s="7">
        <f t="shared" si="30"/>
        <v>0</v>
      </c>
      <c r="N695" s="13">
        <f>IF(AND(ISNUMBER(D695),ISNUMBER(Parametry!$G$6)),IF(AND(YEAR(D695)=Parametry!$G$6,M695&lt;=Parametry!$G$7),1,0),0)</f>
        <v>0</v>
      </c>
      <c r="O695" s="13">
        <f>IF(C695="",IF(COUNTA(D695:J695)&gt;0,1,0),IF(OR(COUNTIFS($C$9:$C$1008,C695)&lt;&gt;1,NOT(ISNUMBER(D695)),NOT(ISNUMBER(I695)),L695="",AND(F695&lt;&gt;"",COUNTIFS(Umowy!$C$9:$C$108,F695,Umowy!$D$9:$D$108,L695)&lt;&gt;1)),1,0))</f>
        <v>0</v>
      </c>
      <c r="P695" s="7" t="str">
        <f t="shared" si="31"/>
        <v/>
      </c>
      <c r="Q695" s="7" t="str">
        <f t="shared" si="32"/>
        <v/>
      </c>
    </row>
    <row r="696" spans="1:17" ht="24" customHeight="1">
      <c r="A696" s="7"/>
      <c r="B696" s="7"/>
      <c r="C696" s="3"/>
      <c r="D696" s="2"/>
      <c r="E696" s="3"/>
      <c r="F696" s="3"/>
      <c r="G696" s="3"/>
      <c r="H696" s="3"/>
      <c r="I696" s="6"/>
      <c r="J696" s="3"/>
      <c r="K696" s="7"/>
      <c r="L696" s="13" t="str">
        <f>IF(C696="","",IF(COUNTIFS(Parametry!$C$54:$C$113,E696)=1,INDEX(Parametry!$D$54:$D$113,MATCH(E696,Parametry!$C$54:$C$113,0)),""))</f>
        <v/>
      </c>
      <c r="M696" s="7">
        <f t="shared" si="30"/>
        <v>0</v>
      </c>
      <c r="N696" s="13">
        <f>IF(AND(ISNUMBER(D696),ISNUMBER(Parametry!$G$6)),IF(AND(YEAR(D696)=Parametry!$G$6,M696&lt;=Parametry!$G$7),1,0),0)</f>
        <v>0</v>
      </c>
      <c r="O696" s="13">
        <f>IF(C696="",IF(COUNTA(D696:J696)&gt;0,1,0),IF(OR(COUNTIFS($C$9:$C$1008,C696)&lt;&gt;1,NOT(ISNUMBER(D696)),NOT(ISNUMBER(I696)),L696="",AND(F696&lt;&gt;"",COUNTIFS(Umowy!$C$9:$C$108,F696,Umowy!$D$9:$D$108,L696)&lt;&gt;1)),1,0))</f>
        <v>0</v>
      </c>
      <c r="P696" s="7" t="str">
        <f t="shared" si="31"/>
        <v/>
      </c>
      <c r="Q696" s="7" t="str">
        <f t="shared" si="32"/>
        <v/>
      </c>
    </row>
    <row r="697" spans="1:17" ht="24" customHeight="1">
      <c r="A697" s="7"/>
      <c r="B697" s="7"/>
      <c r="C697" s="3"/>
      <c r="D697" s="2"/>
      <c r="E697" s="3"/>
      <c r="F697" s="3"/>
      <c r="G697" s="3"/>
      <c r="H697" s="3"/>
      <c r="I697" s="6"/>
      <c r="J697" s="3"/>
      <c r="K697" s="7"/>
      <c r="L697" s="13" t="str">
        <f>IF(C697="","",IF(COUNTIFS(Parametry!$C$54:$C$113,E697)=1,INDEX(Parametry!$D$54:$D$113,MATCH(E697,Parametry!$C$54:$C$113,0)),""))</f>
        <v/>
      </c>
      <c r="M697" s="7">
        <f t="shared" si="30"/>
        <v>0</v>
      </c>
      <c r="N697" s="13">
        <f>IF(AND(ISNUMBER(D697),ISNUMBER(Parametry!$G$6)),IF(AND(YEAR(D697)=Parametry!$G$6,M697&lt;=Parametry!$G$7),1,0),0)</f>
        <v>0</v>
      </c>
      <c r="O697" s="13">
        <f>IF(C697="",IF(COUNTA(D697:J697)&gt;0,1,0),IF(OR(COUNTIFS($C$9:$C$1008,C697)&lt;&gt;1,NOT(ISNUMBER(D697)),NOT(ISNUMBER(I697)),L697="",AND(F697&lt;&gt;"",COUNTIFS(Umowy!$C$9:$C$108,F697,Umowy!$D$9:$D$108,L697)&lt;&gt;1)),1,0))</f>
        <v>0</v>
      </c>
      <c r="P697" s="7" t="str">
        <f t="shared" si="31"/>
        <v/>
      </c>
      <c r="Q697" s="7" t="str">
        <f t="shared" si="32"/>
        <v/>
      </c>
    </row>
    <row r="698" spans="1:17" ht="24" customHeight="1">
      <c r="A698" s="7"/>
      <c r="B698" s="7"/>
      <c r="C698" s="3"/>
      <c r="D698" s="2"/>
      <c r="E698" s="3"/>
      <c r="F698" s="3"/>
      <c r="G698" s="3"/>
      <c r="H698" s="3"/>
      <c r="I698" s="6"/>
      <c r="J698" s="3"/>
      <c r="K698" s="7"/>
      <c r="L698" s="13" t="str">
        <f>IF(C698="","",IF(COUNTIFS(Parametry!$C$54:$C$113,E698)=1,INDEX(Parametry!$D$54:$D$113,MATCH(E698,Parametry!$C$54:$C$113,0)),""))</f>
        <v/>
      </c>
      <c r="M698" s="7">
        <f t="shared" si="30"/>
        <v>0</v>
      </c>
      <c r="N698" s="13">
        <f>IF(AND(ISNUMBER(D698),ISNUMBER(Parametry!$G$6)),IF(AND(YEAR(D698)=Parametry!$G$6,M698&lt;=Parametry!$G$7),1,0),0)</f>
        <v>0</v>
      </c>
      <c r="O698" s="13">
        <f>IF(C698="",IF(COUNTA(D698:J698)&gt;0,1,0),IF(OR(COUNTIFS($C$9:$C$1008,C698)&lt;&gt;1,NOT(ISNUMBER(D698)),NOT(ISNUMBER(I698)),L698="",AND(F698&lt;&gt;"",COUNTIFS(Umowy!$C$9:$C$108,F698,Umowy!$D$9:$D$108,L698)&lt;&gt;1)),1,0))</f>
        <v>0</v>
      </c>
      <c r="P698" s="7" t="str">
        <f t="shared" si="31"/>
        <v/>
      </c>
      <c r="Q698" s="7" t="str">
        <f t="shared" si="32"/>
        <v/>
      </c>
    </row>
    <row r="699" spans="1:17" ht="24" customHeight="1">
      <c r="A699" s="7"/>
      <c r="B699" s="7"/>
      <c r="C699" s="3"/>
      <c r="D699" s="2"/>
      <c r="E699" s="3"/>
      <c r="F699" s="3"/>
      <c r="G699" s="3"/>
      <c r="H699" s="3"/>
      <c r="I699" s="6"/>
      <c r="J699" s="3"/>
      <c r="K699" s="7"/>
      <c r="L699" s="13" t="str">
        <f>IF(C699="","",IF(COUNTIFS(Parametry!$C$54:$C$113,E699)=1,INDEX(Parametry!$D$54:$D$113,MATCH(E699,Parametry!$C$54:$C$113,0)),""))</f>
        <v/>
      </c>
      <c r="M699" s="7">
        <f t="shared" si="30"/>
        <v>0</v>
      </c>
      <c r="N699" s="13">
        <f>IF(AND(ISNUMBER(D699),ISNUMBER(Parametry!$G$6)),IF(AND(YEAR(D699)=Parametry!$G$6,M699&lt;=Parametry!$G$7),1,0),0)</f>
        <v>0</v>
      </c>
      <c r="O699" s="13">
        <f>IF(C699="",IF(COUNTA(D699:J699)&gt;0,1,0),IF(OR(COUNTIFS($C$9:$C$1008,C699)&lt;&gt;1,NOT(ISNUMBER(D699)),NOT(ISNUMBER(I699)),L699="",AND(F699&lt;&gt;"",COUNTIFS(Umowy!$C$9:$C$108,F699,Umowy!$D$9:$D$108,L699)&lt;&gt;1)),1,0))</f>
        <v>0</v>
      </c>
      <c r="P699" s="7" t="str">
        <f t="shared" si="31"/>
        <v/>
      </c>
      <c r="Q699" s="7" t="str">
        <f t="shared" si="32"/>
        <v/>
      </c>
    </row>
    <row r="700" spans="1:17" ht="24" customHeight="1">
      <c r="A700" s="7"/>
      <c r="B700" s="7"/>
      <c r="C700" s="3"/>
      <c r="D700" s="2"/>
      <c r="E700" s="3"/>
      <c r="F700" s="3"/>
      <c r="G700" s="3"/>
      <c r="H700" s="3"/>
      <c r="I700" s="6"/>
      <c r="J700" s="3"/>
      <c r="K700" s="7"/>
      <c r="L700" s="13" t="str">
        <f>IF(C700="","",IF(COUNTIFS(Parametry!$C$54:$C$113,E700)=1,INDEX(Parametry!$D$54:$D$113,MATCH(E700,Parametry!$C$54:$C$113,0)),""))</f>
        <v/>
      </c>
      <c r="M700" s="7">
        <f t="shared" si="30"/>
        <v>0</v>
      </c>
      <c r="N700" s="13">
        <f>IF(AND(ISNUMBER(D700),ISNUMBER(Parametry!$G$6)),IF(AND(YEAR(D700)=Parametry!$G$6,M700&lt;=Parametry!$G$7),1,0),0)</f>
        <v>0</v>
      </c>
      <c r="O700" s="13">
        <f>IF(C700="",IF(COUNTA(D700:J700)&gt;0,1,0),IF(OR(COUNTIFS($C$9:$C$1008,C700)&lt;&gt;1,NOT(ISNUMBER(D700)),NOT(ISNUMBER(I700)),L700="",AND(F700&lt;&gt;"",COUNTIFS(Umowy!$C$9:$C$108,F700,Umowy!$D$9:$D$108,L700)&lt;&gt;1)),1,0))</f>
        <v>0</v>
      </c>
      <c r="P700" s="7" t="str">
        <f t="shared" si="31"/>
        <v/>
      </c>
      <c r="Q700" s="7" t="str">
        <f t="shared" si="32"/>
        <v/>
      </c>
    </row>
    <row r="701" spans="1:17" ht="24" customHeight="1">
      <c r="A701" s="7"/>
      <c r="B701" s="7"/>
      <c r="C701" s="3"/>
      <c r="D701" s="2"/>
      <c r="E701" s="3"/>
      <c r="F701" s="3"/>
      <c r="G701" s="3"/>
      <c r="H701" s="3"/>
      <c r="I701" s="6"/>
      <c r="J701" s="3"/>
      <c r="K701" s="7"/>
      <c r="L701" s="13" t="str">
        <f>IF(C701="","",IF(COUNTIFS(Parametry!$C$54:$C$113,E701)=1,INDEX(Parametry!$D$54:$D$113,MATCH(E701,Parametry!$C$54:$C$113,0)),""))</f>
        <v/>
      </c>
      <c r="M701" s="7">
        <f t="shared" si="30"/>
        <v>0</v>
      </c>
      <c r="N701" s="13">
        <f>IF(AND(ISNUMBER(D701),ISNUMBER(Parametry!$G$6)),IF(AND(YEAR(D701)=Parametry!$G$6,M701&lt;=Parametry!$G$7),1,0),0)</f>
        <v>0</v>
      </c>
      <c r="O701" s="13">
        <f>IF(C701="",IF(COUNTA(D701:J701)&gt;0,1,0),IF(OR(COUNTIFS($C$9:$C$1008,C701)&lt;&gt;1,NOT(ISNUMBER(D701)),NOT(ISNUMBER(I701)),L701="",AND(F701&lt;&gt;"",COUNTIFS(Umowy!$C$9:$C$108,F701,Umowy!$D$9:$D$108,L701)&lt;&gt;1)),1,0))</f>
        <v>0</v>
      </c>
      <c r="P701" s="7" t="str">
        <f t="shared" si="31"/>
        <v/>
      </c>
      <c r="Q701" s="7" t="str">
        <f t="shared" si="32"/>
        <v/>
      </c>
    </row>
    <row r="702" spans="1:17" ht="24" customHeight="1">
      <c r="A702" s="7"/>
      <c r="B702" s="7"/>
      <c r="C702" s="3"/>
      <c r="D702" s="2"/>
      <c r="E702" s="3"/>
      <c r="F702" s="3"/>
      <c r="G702" s="3"/>
      <c r="H702" s="3"/>
      <c r="I702" s="6"/>
      <c r="J702" s="3"/>
      <c r="K702" s="7"/>
      <c r="L702" s="13" t="str">
        <f>IF(C702="","",IF(COUNTIFS(Parametry!$C$54:$C$113,E702)=1,INDEX(Parametry!$D$54:$D$113,MATCH(E702,Parametry!$C$54:$C$113,0)),""))</f>
        <v/>
      </c>
      <c r="M702" s="7">
        <f t="shared" si="30"/>
        <v>0</v>
      </c>
      <c r="N702" s="13">
        <f>IF(AND(ISNUMBER(D702),ISNUMBER(Parametry!$G$6)),IF(AND(YEAR(D702)=Parametry!$G$6,M702&lt;=Parametry!$G$7),1,0),0)</f>
        <v>0</v>
      </c>
      <c r="O702" s="13">
        <f>IF(C702="",IF(COUNTA(D702:J702)&gt;0,1,0),IF(OR(COUNTIFS($C$9:$C$1008,C702)&lt;&gt;1,NOT(ISNUMBER(D702)),NOT(ISNUMBER(I702)),L702="",AND(F702&lt;&gt;"",COUNTIFS(Umowy!$C$9:$C$108,F702,Umowy!$D$9:$D$108,L702)&lt;&gt;1)),1,0))</f>
        <v>0</v>
      </c>
      <c r="P702" s="7" t="str">
        <f t="shared" si="31"/>
        <v/>
      </c>
      <c r="Q702" s="7" t="str">
        <f t="shared" si="32"/>
        <v/>
      </c>
    </row>
    <row r="703" spans="1:17" ht="24" customHeight="1">
      <c r="A703" s="7"/>
      <c r="B703" s="7"/>
      <c r="C703" s="3"/>
      <c r="D703" s="2"/>
      <c r="E703" s="3"/>
      <c r="F703" s="3"/>
      <c r="G703" s="3"/>
      <c r="H703" s="3"/>
      <c r="I703" s="6"/>
      <c r="J703" s="3"/>
      <c r="K703" s="7"/>
      <c r="L703" s="13" t="str">
        <f>IF(C703="","",IF(COUNTIFS(Parametry!$C$54:$C$113,E703)=1,INDEX(Parametry!$D$54:$D$113,MATCH(E703,Parametry!$C$54:$C$113,0)),""))</f>
        <v/>
      </c>
      <c r="M703" s="7">
        <f t="shared" si="30"/>
        <v>0</v>
      </c>
      <c r="N703" s="13">
        <f>IF(AND(ISNUMBER(D703),ISNUMBER(Parametry!$G$6)),IF(AND(YEAR(D703)=Parametry!$G$6,M703&lt;=Parametry!$G$7),1,0),0)</f>
        <v>0</v>
      </c>
      <c r="O703" s="13">
        <f>IF(C703="",IF(COUNTA(D703:J703)&gt;0,1,0),IF(OR(COUNTIFS($C$9:$C$1008,C703)&lt;&gt;1,NOT(ISNUMBER(D703)),NOT(ISNUMBER(I703)),L703="",AND(F703&lt;&gt;"",COUNTIFS(Umowy!$C$9:$C$108,F703,Umowy!$D$9:$D$108,L703)&lt;&gt;1)),1,0))</f>
        <v>0</v>
      </c>
      <c r="P703" s="7" t="str">
        <f t="shared" si="31"/>
        <v/>
      </c>
      <c r="Q703" s="7" t="str">
        <f t="shared" si="32"/>
        <v/>
      </c>
    </row>
    <row r="704" spans="1:17" ht="24" customHeight="1">
      <c r="A704" s="7"/>
      <c r="B704" s="7"/>
      <c r="C704" s="3"/>
      <c r="D704" s="2"/>
      <c r="E704" s="3"/>
      <c r="F704" s="3"/>
      <c r="G704" s="3"/>
      <c r="H704" s="3"/>
      <c r="I704" s="6"/>
      <c r="J704" s="3"/>
      <c r="K704" s="7"/>
      <c r="L704" s="13" t="str">
        <f>IF(C704="","",IF(COUNTIFS(Parametry!$C$54:$C$113,E704)=1,INDEX(Parametry!$D$54:$D$113,MATCH(E704,Parametry!$C$54:$C$113,0)),""))</f>
        <v/>
      </c>
      <c r="M704" s="7">
        <f t="shared" si="30"/>
        <v>0</v>
      </c>
      <c r="N704" s="13">
        <f>IF(AND(ISNUMBER(D704),ISNUMBER(Parametry!$G$6)),IF(AND(YEAR(D704)=Parametry!$G$6,M704&lt;=Parametry!$G$7),1,0),0)</f>
        <v>0</v>
      </c>
      <c r="O704" s="13">
        <f>IF(C704="",IF(COUNTA(D704:J704)&gt;0,1,0),IF(OR(COUNTIFS($C$9:$C$1008,C704)&lt;&gt;1,NOT(ISNUMBER(D704)),NOT(ISNUMBER(I704)),L704="",AND(F704&lt;&gt;"",COUNTIFS(Umowy!$C$9:$C$108,F704,Umowy!$D$9:$D$108,L704)&lt;&gt;1)),1,0))</f>
        <v>0</v>
      </c>
      <c r="P704" s="7" t="str">
        <f t="shared" si="31"/>
        <v/>
      </c>
      <c r="Q704" s="7" t="str">
        <f t="shared" si="32"/>
        <v/>
      </c>
    </row>
    <row r="705" spans="1:17" ht="24" customHeight="1">
      <c r="A705" s="7"/>
      <c r="B705" s="7"/>
      <c r="C705" s="3"/>
      <c r="D705" s="2"/>
      <c r="E705" s="3"/>
      <c r="F705" s="3"/>
      <c r="G705" s="3"/>
      <c r="H705" s="3"/>
      <c r="I705" s="6"/>
      <c r="J705" s="3"/>
      <c r="K705" s="7"/>
      <c r="L705" s="13" t="str">
        <f>IF(C705="","",IF(COUNTIFS(Parametry!$C$54:$C$113,E705)=1,INDEX(Parametry!$D$54:$D$113,MATCH(E705,Parametry!$C$54:$C$113,0)),""))</f>
        <v/>
      </c>
      <c r="M705" s="7">
        <f t="shared" si="30"/>
        <v>0</v>
      </c>
      <c r="N705" s="13">
        <f>IF(AND(ISNUMBER(D705),ISNUMBER(Parametry!$G$6)),IF(AND(YEAR(D705)=Parametry!$G$6,M705&lt;=Parametry!$G$7),1,0),0)</f>
        <v>0</v>
      </c>
      <c r="O705" s="13">
        <f>IF(C705="",IF(COUNTA(D705:J705)&gt;0,1,0),IF(OR(COUNTIFS($C$9:$C$1008,C705)&lt;&gt;1,NOT(ISNUMBER(D705)),NOT(ISNUMBER(I705)),L705="",AND(F705&lt;&gt;"",COUNTIFS(Umowy!$C$9:$C$108,F705,Umowy!$D$9:$D$108,L705)&lt;&gt;1)),1,0))</f>
        <v>0</v>
      </c>
      <c r="P705" s="7" t="str">
        <f t="shared" si="31"/>
        <v/>
      </c>
      <c r="Q705" s="7" t="str">
        <f t="shared" si="32"/>
        <v/>
      </c>
    </row>
    <row r="706" spans="1:17" ht="24" customHeight="1">
      <c r="A706" s="7"/>
      <c r="B706" s="7"/>
      <c r="C706" s="3"/>
      <c r="D706" s="2"/>
      <c r="E706" s="3"/>
      <c r="F706" s="3"/>
      <c r="G706" s="3"/>
      <c r="H706" s="3"/>
      <c r="I706" s="6"/>
      <c r="J706" s="3"/>
      <c r="K706" s="7"/>
      <c r="L706" s="13" t="str">
        <f>IF(C706="","",IF(COUNTIFS(Parametry!$C$54:$C$113,E706)=1,INDEX(Parametry!$D$54:$D$113,MATCH(E706,Parametry!$C$54:$C$113,0)),""))</f>
        <v/>
      </c>
      <c r="M706" s="7">
        <f t="shared" si="30"/>
        <v>0</v>
      </c>
      <c r="N706" s="13">
        <f>IF(AND(ISNUMBER(D706),ISNUMBER(Parametry!$G$6)),IF(AND(YEAR(D706)=Parametry!$G$6,M706&lt;=Parametry!$G$7),1,0),0)</f>
        <v>0</v>
      </c>
      <c r="O706" s="13">
        <f>IF(C706="",IF(COUNTA(D706:J706)&gt;0,1,0),IF(OR(COUNTIFS($C$9:$C$1008,C706)&lt;&gt;1,NOT(ISNUMBER(D706)),NOT(ISNUMBER(I706)),L706="",AND(F706&lt;&gt;"",COUNTIFS(Umowy!$C$9:$C$108,F706,Umowy!$D$9:$D$108,L706)&lt;&gt;1)),1,0))</f>
        <v>0</v>
      </c>
      <c r="P706" s="7" t="str">
        <f t="shared" si="31"/>
        <v/>
      </c>
      <c r="Q706" s="7" t="str">
        <f t="shared" si="32"/>
        <v/>
      </c>
    </row>
    <row r="707" spans="1:17" ht="24" customHeight="1">
      <c r="A707" s="7"/>
      <c r="B707" s="7"/>
      <c r="C707" s="3"/>
      <c r="D707" s="2"/>
      <c r="E707" s="3"/>
      <c r="F707" s="3"/>
      <c r="G707" s="3"/>
      <c r="H707" s="3"/>
      <c r="I707" s="6"/>
      <c r="J707" s="3"/>
      <c r="K707" s="7"/>
      <c r="L707" s="13" t="str">
        <f>IF(C707="","",IF(COUNTIFS(Parametry!$C$54:$C$113,E707)=1,INDEX(Parametry!$D$54:$D$113,MATCH(E707,Parametry!$C$54:$C$113,0)),""))</f>
        <v/>
      </c>
      <c r="M707" s="7">
        <f t="shared" si="30"/>
        <v>0</v>
      </c>
      <c r="N707" s="13">
        <f>IF(AND(ISNUMBER(D707),ISNUMBER(Parametry!$G$6)),IF(AND(YEAR(D707)=Parametry!$G$6,M707&lt;=Parametry!$G$7),1,0),0)</f>
        <v>0</v>
      </c>
      <c r="O707" s="13">
        <f>IF(C707="",IF(COUNTA(D707:J707)&gt;0,1,0),IF(OR(COUNTIFS($C$9:$C$1008,C707)&lt;&gt;1,NOT(ISNUMBER(D707)),NOT(ISNUMBER(I707)),L707="",AND(F707&lt;&gt;"",COUNTIFS(Umowy!$C$9:$C$108,F707,Umowy!$D$9:$D$108,L707)&lt;&gt;1)),1,0))</f>
        <v>0</v>
      </c>
      <c r="P707" s="7" t="str">
        <f t="shared" si="31"/>
        <v/>
      </c>
      <c r="Q707" s="7" t="str">
        <f t="shared" si="32"/>
        <v/>
      </c>
    </row>
    <row r="708" spans="1:17" ht="24" customHeight="1">
      <c r="A708" s="7"/>
      <c r="B708" s="7"/>
      <c r="C708" s="3"/>
      <c r="D708" s="2"/>
      <c r="E708" s="3"/>
      <c r="F708" s="3"/>
      <c r="G708" s="3"/>
      <c r="H708" s="3"/>
      <c r="I708" s="6"/>
      <c r="J708" s="3"/>
      <c r="K708" s="7"/>
      <c r="L708" s="13" t="str">
        <f>IF(C708="","",IF(COUNTIFS(Parametry!$C$54:$C$113,E708)=1,INDEX(Parametry!$D$54:$D$113,MATCH(E708,Parametry!$C$54:$C$113,0)),""))</f>
        <v/>
      </c>
      <c r="M708" s="7">
        <f t="shared" si="30"/>
        <v>0</v>
      </c>
      <c r="N708" s="13">
        <f>IF(AND(ISNUMBER(D708),ISNUMBER(Parametry!$G$6)),IF(AND(YEAR(D708)=Parametry!$G$6,M708&lt;=Parametry!$G$7),1,0),0)</f>
        <v>0</v>
      </c>
      <c r="O708" s="13">
        <f>IF(C708="",IF(COUNTA(D708:J708)&gt;0,1,0),IF(OR(COUNTIFS($C$9:$C$1008,C708)&lt;&gt;1,NOT(ISNUMBER(D708)),NOT(ISNUMBER(I708)),L708="",AND(F708&lt;&gt;"",COUNTIFS(Umowy!$C$9:$C$108,F708,Umowy!$D$9:$D$108,L708)&lt;&gt;1)),1,0))</f>
        <v>0</v>
      </c>
      <c r="P708" s="7" t="str">
        <f t="shared" si="31"/>
        <v/>
      </c>
      <c r="Q708" s="7" t="str">
        <f t="shared" si="32"/>
        <v/>
      </c>
    </row>
    <row r="709" spans="1:17" ht="24" customHeight="1">
      <c r="A709" s="7"/>
      <c r="B709" s="7"/>
      <c r="C709" s="3"/>
      <c r="D709" s="2"/>
      <c r="E709" s="3"/>
      <c r="F709" s="3"/>
      <c r="G709" s="3"/>
      <c r="H709" s="3"/>
      <c r="I709" s="6"/>
      <c r="J709" s="3"/>
      <c r="K709" s="7"/>
      <c r="L709" s="13" t="str">
        <f>IF(C709="","",IF(COUNTIFS(Parametry!$C$54:$C$113,E709)=1,INDEX(Parametry!$D$54:$D$113,MATCH(E709,Parametry!$C$54:$C$113,0)),""))</f>
        <v/>
      </c>
      <c r="M709" s="7">
        <f t="shared" si="30"/>
        <v>0</v>
      </c>
      <c r="N709" s="13">
        <f>IF(AND(ISNUMBER(D709),ISNUMBER(Parametry!$G$6)),IF(AND(YEAR(D709)=Parametry!$G$6,M709&lt;=Parametry!$G$7),1,0),0)</f>
        <v>0</v>
      </c>
      <c r="O709" s="13">
        <f>IF(C709="",IF(COUNTA(D709:J709)&gt;0,1,0),IF(OR(COUNTIFS($C$9:$C$1008,C709)&lt;&gt;1,NOT(ISNUMBER(D709)),NOT(ISNUMBER(I709)),L709="",AND(F709&lt;&gt;"",COUNTIFS(Umowy!$C$9:$C$108,F709,Umowy!$D$9:$D$108,L709)&lt;&gt;1)),1,0))</f>
        <v>0</v>
      </c>
      <c r="P709" s="7" t="str">
        <f t="shared" si="31"/>
        <v/>
      </c>
      <c r="Q709" s="7" t="str">
        <f t="shared" si="32"/>
        <v/>
      </c>
    </row>
    <row r="710" spans="1:17" ht="24" customHeight="1">
      <c r="A710" s="7"/>
      <c r="B710" s="7"/>
      <c r="C710" s="3"/>
      <c r="D710" s="2"/>
      <c r="E710" s="3"/>
      <c r="F710" s="3"/>
      <c r="G710" s="3"/>
      <c r="H710" s="3"/>
      <c r="I710" s="6"/>
      <c r="J710" s="3"/>
      <c r="K710" s="7"/>
      <c r="L710" s="13" t="str">
        <f>IF(C710="","",IF(COUNTIFS(Parametry!$C$54:$C$113,E710)=1,INDEX(Parametry!$D$54:$D$113,MATCH(E710,Parametry!$C$54:$C$113,0)),""))</f>
        <v/>
      </c>
      <c r="M710" s="7">
        <f t="shared" si="30"/>
        <v>0</v>
      </c>
      <c r="N710" s="13">
        <f>IF(AND(ISNUMBER(D710),ISNUMBER(Parametry!$G$6)),IF(AND(YEAR(D710)=Parametry!$G$6,M710&lt;=Parametry!$G$7),1,0),0)</f>
        <v>0</v>
      </c>
      <c r="O710" s="13">
        <f>IF(C710="",IF(COUNTA(D710:J710)&gt;0,1,0),IF(OR(COUNTIFS($C$9:$C$1008,C710)&lt;&gt;1,NOT(ISNUMBER(D710)),NOT(ISNUMBER(I710)),L710="",AND(F710&lt;&gt;"",COUNTIFS(Umowy!$C$9:$C$108,F710,Umowy!$D$9:$D$108,L710)&lt;&gt;1)),1,0))</f>
        <v>0</v>
      </c>
      <c r="P710" s="7" t="str">
        <f t="shared" si="31"/>
        <v/>
      </c>
      <c r="Q710" s="7" t="str">
        <f t="shared" si="32"/>
        <v/>
      </c>
    </row>
    <row r="711" spans="1:17" ht="24" customHeight="1">
      <c r="A711" s="7"/>
      <c r="B711" s="7"/>
      <c r="C711" s="3"/>
      <c r="D711" s="2"/>
      <c r="E711" s="3"/>
      <c r="F711" s="3"/>
      <c r="G711" s="3"/>
      <c r="H711" s="3"/>
      <c r="I711" s="6"/>
      <c r="J711" s="3"/>
      <c r="K711" s="7"/>
      <c r="L711" s="13" t="str">
        <f>IF(C711="","",IF(COUNTIFS(Parametry!$C$54:$C$113,E711)=1,INDEX(Parametry!$D$54:$D$113,MATCH(E711,Parametry!$C$54:$C$113,0)),""))</f>
        <v/>
      </c>
      <c r="M711" s="7">
        <f t="shared" si="30"/>
        <v>0</v>
      </c>
      <c r="N711" s="13">
        <f>IF(AND(ISNUMBER(D711),ISNUMBER(Parametry!$G$6)),IF(AND(YEAR(D711)=Parametry!$G$6,M711&lt;=Parametry!$G$7),1,0),0)</f>
        <v>0</v>
      </c>
      <c r="O711" s="13">
        <f>IF(C711="",IF(COUNTA(D711:J711)&gt;0,1,0),IF(OR(COUNTIFS($C$9:$C$1008,C711)&lt;&gt;1,NOT(ISNUMBER(D711)),NOT(ISNUMBER(I711)),L711="",AND(F711&lt;&gt;"",COUNTIFS(Umowy!$C$9:$C$108,F711,Umowy!$D$9:$D$108,L711)&lt;&gt;1)),1,0))</f>
        <v>0</v>
      </c>
      <c r="P711" s="7" t="str">
        <f t="shared" si="31"/>
        <v/>
      </c>
      <c r="Q711" s="7" t="str">
        <f t="shared" si="32"/>
        <v/>
      </c>
    </row>
    <row r="712" spans="1:17" ht="24" customHeight="1">
      <c r="A712" s="7"/>
      <c r="B712" s="7"/>
      <c r="C712" s="3"/>
      <c r="D712" s="2"/>
      <c r="E712" s="3"/>
      <c r="F712" s="3"/>
      <c r="G712" s="3"/>
      <c r="H712" s="3"/>
      <c r="I712" s="6"/>
      <c r="J712" s="3"/>
      <c r="K712" s="7"/>
      <c r="L712" s="13" t="str">
        <f>IF(C712="","",IF(COUNTIFS(Parametry!$C$54:$C$113,E712)=1,INDEX(Parametry!$D$54:$D$113,MATCH(E712,Parametry!$C$54:$C$113,0)),""))</f>
        <v/>
      </c>
      <c r="M712" s="7">
        <f t="shared" si="30"/>
        <v>0</v>
      </c>
      <c r="N712" s="13">
        <f>IF(AND(ISNUMBER(D712),ISNUMBER(Parametry!$G$6)),IF(AND(YEAR(D712)=Parametry!$G$6,M712&lt;=Parametry!$G$7),1,0),0)</f>
        <v>0</v>
      </c>
      <c r="O712" s="13">
        <f>IF(C712="",IF(COUNTA(D712:J712)&gt;0,1,0),IF(OR(COUNTIFS($C$9:$C$1008,C712)&lt;&gt;1,NOT(ISNUMBER(D712)),NOT(ISNUMBER(I712)),L712="",AND(F712&lt;&gt;"",COUNTIFS(Umowy!$C$9:$C$108,F712,Umowy!$D$9:$D$108,L712)&lt;&gt;1)),1,0))</f>
        <v>0</v>
      </c>
      <c r="P712" s="7" t="str">
        <f t="shared" si="31"/>
        <v/>
      </c>
      <c r="Q712" s="7" t="str">
        <f t="shared" si="32"/>
        <v/>
      </c>
    </row>
    <row r="713" spans="1:17" ht="24" customHeight="1">
      <c r="A713" s="7"/>
      <c r="B713" s="7"/>
      <c r="C713" s="3"/>
      <c r="D713" s="2"/>
      <c r="E713" s="3"/>
      <c r="F713" s="3"/>
      <c r="G713" s="3"/>
      <c r="H713" s="3"/>
      <c r="I713" s="6"/>
      <c r="J713" s="3"/>
      <c r="K713" s="7"/>
      <c r="L713" s="13" t="str">
        <f>IF(C713="","",IF(COUNTIFS(Parametry!$C$54:$C$113,E713)=1,INDEX(Parametry!$D$54:$D$113,MATCH(E713,Parametry!$C$54:$C$113,0)),""))</f>
        <v/>
      </c>
      <c r="M713" s="7">
        <f t="shared" ref="M713:M776" si="33">IF(ISNUMBER(D713),MONTH(D713),0)</f>
        <v>0</v>
      </c>
      <c r="N713" s="13">
        <f>IF(AND(ISNUMBER(D713),ISNUMBER(Parametry!$G$6)),IF(AND(YEAR(D713)=Parametry!$G$6,M713&lt;=Parametry!$G$7),1,0),0)</f>
        <v>0</v>
      </c>
      <c r="O713" s="13">
        <f>IF(C713="",IF(COUNTA(D713:J713)&gt;0,1,0),IF(OR(COUNTIFS($C$9:$C$1008,C713)&lt;&gt;1,NOT(ISNUMBER(D713)),NOT(ISNUMBER(I713)),L713="",AND(F713&lt;&gt;"",COUNTIFS(Umowy!$C$9:$C$108,F713,Umowy!$D$9:$D$108,L713)&lt;&gt;1)),1,0))</f>
        <v>0</v>
      </c>
      <c r="P713" s="7" t="str">
        <f t="shared" ref="P713:P776" si="34">IF(O713=0,"",IF(C713="","Missing RowID",IF(COUNTIFS($C$9:$C$1008,C713)&lt;&gt;1,"Duplicate RowID",IF(L713="","Unmapped ERPKey",IF(NOT(ISNUMBER(D713)),"Invalid Date",IF(NOT(ISNUMBER(I713)),"Invalid AmountPLN","CommitmentID / BudgetID"))))))</f>
        <v/>
      </c>
      <c r="Q713" s="7" t="str">
        <f t="shared" ref="Q713:Q776" si="35">IF(C713="","",IF(N713=1,"","Nie ujęto w wykonaniu okresu"))</f>
        <v/>
      </c>
    </row>
    <row r="714" spans="1:17" ht="24" customHeight="1">
      <c r="A714" s="7"/>
      <c r="B714" s="7"/>
      <c r="C714" s="3"/>
      <c r="D714" s="2"/>
      <c r="E714" s="3"/>
      <c r="F714" s="3"/>
      <c r="G714" s="3"/>
      <c r="H714" s="3"/>
      <c r="I714" s="6"/>
      <c r="J714" s="3"/>
      <c r="K714" s="7"/>
      <c r="L714" s="13" t="str">
        <f>IF(C714="","",IF(COUNTIFS(Parametry!$C$54:$C$113,E714)=1,INDEX(Parametry!$D$54:$D$113,MATCH(E714,Parametry!$C$54:$C$113,0)),""))</f>
        <v/>
      </c>
      <c r="M714" s="7">
        <f t="shared" si="33"/>
        <v>0</v>
      </c>
      <c r="N714" s="13">
        <f>IF(AND(ISNUMBER(D714),ISNUMBER(Parametry!$G$6)),IF(AND(YEAR(D714)=Parametry!$G$6,M714&lt;=Parametry!$G$7),1,0),0)</f>
        <v>0</v>
      </c>
      <c r="O714" s="13">
        <f>IF(C714="",IF(COUNTA(D714:J714)&gt;0,1,0),IF(OR(COUNTIFS($C$9:$C$1008,C714)&lt;&gt;1,NOT(ISNUMBER(D714)),NOT(ISNUMBER(I714)),L714="",AND(F714&lt;&gt;"",COUNTIFS(Umowy!$C$9:$C$108,F714,Umowy!$D$9:$D$108,L714)&lt;&gt;1)),1,0))</f>
        <v>0</v>
      </c>
      <c r="P714" s="7" t="str">
        <f t="shared" si="34"/>
        <v/>
      </c>
      <c r="Q714" s="7" t="str">
        <f t="shared" si="35"/>
        <v/>
      </c>
    </row>
    <row r="715" spans="1:17" ht="24" customHeight="1">
      <c r="A715" s="7"/>
      <c r="B715" s="7"/>
      <c r="C715" s="3"/>
      <c r="D715" s="2"/>
      <c r="E715" s="3"/>
      <c r="F715" s="3"/>
      <c r="G715" s="3"/>
      <c r="H715" s="3"/>
      <c r="I715" s="6"/>
      <c r="J715" s="3"/>
      <c r="K715" s="7"/>
      <c r="L715" s="13" t="str">
        <f>IF(C715="","",IF(COUNTIFS(Parametry!$C$54:$C$113,E715)=1,INDEX(Parametry!$D$54:$D$113,MATCH(E715,Parametry!$C$54:$C$113,0)),""))</f>
        <v/>
      </c>
      <c r="M715" s="7">
        <f t="shared" si="33"/>
        <v>0</v>
      </c>
      <c r="N715" s="13">
        <f>IF(AND(ISNUMBER(D715),ISNUMBER(Parametry!$G$6)),IF(AND(YEAR(D715)=Parametry!$G$6,M715&lt;=Parametry!$G$7),1,0),0)</f>
        <v>0</v>
      </c>
      <c r="O715" s="13">
        <f>IF(C715="",IF(COUNTA(D715:J715)&gt;0,1,0),IF(OR(COUNTIFS($C$9:$C$1008,C715)&lt;&gt;1,NOT(ISNUMBER(D715)),NOT(ISNUMBER(I715)),L715="",AND(F715&lt;&gt;"",COUNTIFS(Umowy!$C$9:$C$108,F715,Umowy!$D$9:$D$108,L715)&lt;&gt;1)),1,0))</f>
        <v>0</v>
      </c>
      <c r="P715" s="7" t="str">
        <f t="shared" si="34"/>
        <v/>
      </c>
      <c r="Q715" s="7" t="str">
        <f t="shared" si="35"/>
        <v/>
      </c>
    </row>
    <row r="716" spans="1:17" ht="24" customHeight="1">
      <c r="A716" s="7"/>
      <c r="B716" s="7"/>
      <c r="C716" s="3"/>
      <c r="D716" s="2"/>
      <c r="E716" s="3"/>
      <c r="F716" s="3"/>
      <c r="G716" s="3"/>
      <c r="H716" s="3"/>
      <c r="I716" s="6"/>
      <c r="J716" s="3"/>
      <c r="K716" s="7"/>
      <c r="L716" s="13" t="str">
        <f>IF(C716="","",IF(COUNTIFS(Parametry!$C$54:$C$113,E716)=1,INDEX(Parametry!$D$54:$D$113,MATCH(E716,Parametry!$C$54:$C$113,0)),""))</f>
        <v/>
      </c>
      <c r="M716" s="7">
        <f t="shared" si="33"/>
        <v>0</v>
      </c>
      <c r="N716" s="13">
        <f>IF(AND(ISNUMBER(D716),ISNUMBER(Parametry!$G$6)),IF(AND(YEAR(D716)=Parametry!$G$6,M716&lt;=Parametry!$G$7),1,0),0)</f>
        <v>0</v>
      </c>
      <c r="O716" s="13">
        <f>IF(C716="",IF(COUNTA(D716:J716)&gt;0,1,0),IF(OR(COUNTIFS($C$9:$C$1008,C716)&lt;&gt;1,NOT(ISNUMBER(D716)),NOT(ISNUMBER(I716)),L716="",AND(F716&lt;&gt;"",COUNTIFS(Umowy!$C$9:$C$108,F716,Umowy!$D$9:$D$108,L716)&lt;&gt;1)),1,0))</f>
        <v>0</v>
      </c>
      <c r="P716" s="7" t="str">
        <f t="shared" si="34"/>
        <v/>
      </c>
      <c r="Q716" s="7" t="str">
        <f t="shared" si="35"/>
        <v/>
      </c>
    </row>
    <row r="717" spans="1:17" ht="24" customHeight="1">
      <c r="A717" s="7"/>
      <c r="B717" s="7"/>
      <c r="C717" s="3"/>
      <c r="D717" s="2"/>
      <c r="E717" s="3"/>
      <c r="F717" s="3"/>
      <c r="G717" s="3"/>
      <c r="H717" s="3"/>
      <c r="I717" s="6"/>
      <c r="J717" s="3"/>
      <c r="K717" s="7"/>
      <c r="L717" s="13" t="str">
        <f>IF(C717="","",IF(COUNTIFS(Parametry!$C$54:$C$113,E717)=1,INDEX(Parametry!$D$54:$D$113,MATCH(E717,Parametry!$C$54:$C$113,0)),""))</f>
        <v/>
      </c>
      <c r="M717" s="7">
        <f t="shared" si="33"/>
        <v>0</v>
      </c>
      <c r="N717" s="13">
        <f>IF(AND(ISNUMBER(D717),ISNUMBER(Parametry!$G$6)),IF(AND(YEAR(D717)=Parametry!$G$6,M717&lt;=Parametry!$G$7),1,0),0)</f>
        <v>0</v>
      </c>
      <c r="O717" s="13">
        <f>IF(C717="",IF(COUNTA(D717:J717)&gt;0,1,0),IF(OR(COUNTIFS($C$9:$C$1008,C717)&lt;&gt;1,NOT(ISNUMBER(D717)),NOT(ISNUMBER(I717)),L717="",AND(F717&lt;&gt;"",COUNTIFS(Umowy!$C$9:$C$108,F717,Umowy!$D$9:$D$108,L717)&lt;&gt;1)),1,0))</f>
        <v>0</v>
      </c>
      <c r="P717" s="7" t="str">
        <f t="shared" si="34"/>
        <v/>
      </c>
      <c r="Q717" s="7" t="str">
        <f t="shared" si="35"/>
        <v/>
      </c>
    </row>
    <row r="718" spans="1:17" ht="24" customHeight="1">
      <c r="A718" s="7"/>
      <c r="B718" s="7"/>
      <c r="C718" s="3"/>
      <c r="D718" s="2"/>
      <c r="E718" s="3"/>
      <c r="F718" s="3"/>
      <c r="G718" s="3"/>
      <c r="H718" s="3"/>
      <c r="I718" s="6"/>
      <c r="J718" s="3"/>
      <c r="K718" s="7"/>
      <c r="L718" s="13" t="str">
        <f>IF(C718="","",IF(COUNTIFS(Parametry!$C$54:$C$113,E718)=1,INDEX(Parametry!$D$54:$D$113,MATCH(E718,Parametry!$C$54:$C$113,0)),""))</f>
        <v/>
      </c>
      <c r="M718" s="7">
        <f t="shared" si="33"/>
        <v>0</v>
      </c>
      <c r="N718" s="13">
        <f>IF(AND(ISNUMBER(D718),ISNUMBER(Parametry!$G$6)),IF(AND(YEAR(D718)=Parametry!$G$6,M718&lt;=Parametry!$G$7),1,0),0)</f>
        <v>0</v>
      </c>
      <c r="O718" s="13">
        <f>IF(C718="",IF(COUNTA(D718:J718)&gt;0,1,0),IF(OR(COUNTIFS($C$9:$C$1008,C718)&lt;&gt;1,NOT(ISNUMBER(D718)),NOT(ISNUMBER(I718)),L718="",AND(F718&lt;&gt;"",COUNTIFS(Umowy!$C$9:$C$108,F718,Umowy!$D$9:$D$108,L718)&lt;&gt;1)),1,0))</f>
        <v>0</v>
      </c>
      <c r="P718" s="7" t="str">
        <f t="shared" si="34"/>
        <v/>
      </c>
      <c r="Q718" s="7" t="str">
        <f t="shared" si="35"/>
        <v/>
      </c>
    </row>
    <row r="719" spans="1:17" ht="24" customHeight="1">
      <c r="A719" s="7"/>
      <c r="B719" s="7"/>
      <c r="C719" s="3"/>
      <c r="D719" s="2"/>
      <c r="E719" s="3"/>
      <c r="F719" s="3"/>
      <c r="G719" s="3"/>
      <c r="H719" s="3"/>
      <c r="I719" s="6"/>
      <c r="J719" s="3"/>
      <c r="K719" s="7"/>
      <c r="L719" s="13" t="str">
        <f>IF(C719="","",IF(COUNTIFS(Parametry!$C$54:$C$113,E719)=1,INDEX(Parametry!$D$54:$D$113,MATCH(E719,Parametry!$C$54:$C$113,0)),""))</f>
        <v/>
      </c>
      <c r="M719" s="7">
        <f t="shared" si="33"/>
        <v>0</v>
      </c>
      <c r="N719" s="13">
        <f>IF(AND(ISNUMBER(D719),ISNUMBER(Parametry!$G$6)),IF(AND(YEAR(D719)=Parametry!$G$6,M719&lt;=Parametry!$G$7),1,0),0)</f>
        <v>0</v>
      </c>
      <c r="O719" s="13">
        <f>IF(C719="",IF(COUNTA(D719:J719)&gt;0,1,0),IF(OR(COUNTIFS($C$9:$C$1008,C719)&lt;&gt;1,NOT(ISNUMBER(D719)),NOT(ISNUMBER(I719)),L719="",AND(F719&lt;&gt;"",COUNTIFS(Umowy!$C$9:$C$108,F719,Umowy!$D$9:$D$108,L719)&lt;&gt;1)),1,0))</f>
        <v>0</v>
      </c>
      <c r="P719" s="7" t="str">
        <f t="shared" si="34"/>
        <v/>
      </c>
      <c r="Q719" s="7" t="str">
        <f t="shared" si="35"/>
        <v/>
      </c>
    </row>
    <row r="720" spans="1:17" ht="24" customHeight="1">
      <c r="A720" s="7"/>
      <c r="B720" s="7"/>
      <c r="C720" s="3"/>
      <c r="D720" s="2"/>
      <c r="E720" s="3"/>
      <c r="F720" s="3"/>
      <c r="G720" s="3"/>
      <c r="H720" s="3"/>
      <c r="I720" s="6"/>
      <c r="J720" s="3"/>
      <c r="K720" s="7"/>
      <c r="L720" s="13" t="str">
        <f>IF(C720="","",IF(COUNTIFS(Parametry!$C$54:$C$113,E720)=1,INDEX(Parametry!$D$54:$D$113,MATCH(E720,Parametry!$C$54:$C$113,0)),""))</f>
        <v/>
      </c>
      <c r="M720" s="7">
        <f t="shared" si="33"/>
        <v>0</v>
      </c>
      <c r="N720" s="13">
        <f>IF(AND(ISNUMBER(D720),ISNUMBER(Parametry!$G$6)),IF(AND(YEAR(D720)=Parametry!$G$6,M720&lt;=Parametry!$G$7),1,0),0)</f>
        <v>0</v>
      </c>
      <c r="O720" s="13">
        <f>IF(C720="",IF(COUNTA(D720:J720)&gt;0,1,0),IF(OR(COUNTIFS($C$9:$C$1008,C720)&lt;&gt;1,NOT(ISNUMBER(D720)),NOT(ISNUMBER(I720)),L720="",AND(F720&lt;&gt;"",COUNTIFS(Umowy!$C$9:$C$108,F720,Umowy!$D$9:$D$108,L720)&lt;&gt;1)),1,0))</f>
        <v>0</v>
      </c>
      <c r="P720" s="7" t="str">
        <f t="shared" si="34"/>
        <v/>
      </c>
      <c r="Q720" s="7" t="str">
        <f t="shared" si="35"/>
        <v/>
      </c>
    </row>
    <row r="721" spans="1:17" ht="24" customHeight="1">
      <c r="A721" s="7"/>
      <c r="B721" s="7"/>
      <c r="C721" s="3"/>
      <c r="D721" s="2"/>
      <c r="E721" s="3"/>
      <c r="F721" s="3"/>
      <c r="G721" s="3"/>
      <c r="H721" s="3"/>
      <c r="I721" s="6"/>
      <c r="J721" s="3"/>
      <c r="K721" s="7"/>
      <c r="L721" s="13" t="str">
        <f>IF(C721="","",IF(COUNTIFS(Parametry!$C$54:$C$113,E721)=1,INDEX(Parametry!$D$54:$D$113,MATCH(E721,Parametry!$C$54:$C$113,0)),""))</f>
        <v/>
      </c>
      <c r="M721" s="7">
        <f t="shared" si="33"/>
        <v>0</v>
      </c>
      <c r="N721" s="13">
        <f>IF(AND(ISNUMBER(D721),ISNUMBER(Parametry!$G$6)),IF(AND(YEAR(D721)=Parametry!$G$6,M721&lt;=Parametry!$G$7),1,0),0)</f>
        <v>0</v>
      </c>
      <c r="O721" s="13">
        <f>IF(C721="",IF(COUNTA(D721:J721)&gt;0,1,0),IF(OR(COUNTIFS($C$9:$C$1008,C721)&lt;&gt;1,NOT(ISNUMBER(D721)),NOT(ISNUMBER(I721)),L721="",AND(F721&lt;&gt;"",COUNTIFS(Umowy!$C$9:$C$108,F721,Umowy!$D$9:$D$108,L721)&lt;&gt;1)),1,0))</f>
        <v>0</v>
      </c>
      <c r="P721" s="7" t="str">
        <f t="shared" si="34"/>
        <v/>
      </c>
      <c r="Q721" s="7" t="str">
        <f t="shared" si="35"/>
        <v/>
      </c>
    </row>
    <row r="722" spans="1:17" ht="24" customHeight="1">
      <c r="A722" s="7"/>
      <c r="B722" s="7"/>
      <c r="C722" s="3"/>
      <c r="D722" s="2"/>
      <c r="E722" s="3"/>
      <c r="F722" s="3"/>
      <c r="G722" s="3"/>
      <c r="H722" s="3"/>
      <c r="I722" s="6"/>
      <c r="J722" s="3"/>
      <c r="K722" s="7"/>
      <c r="L722" s="13" t="str">
        <f>IF(C722="","",IF(COUNTIFS(Parametry!$C$54:$C$113,E722)=1,INDEX(Parametry!$D$54:$D$113,MATCH(E722,Parametry!$C$54:$C$113,0)),""))</f>
        <v/>
      </c>
      <c r="M722" s="7">
        <f t="shared" si="33"/>
        <v>0</v>
      </c>
      <c r="N722" s="13">
        <f>IF(AND(ISNUMBER(D722),ISNUMBER(Parametry!$G$6)),IF(AND(YEAR(D722)=Parametry!$G$6,M722&lt;=Parametry!$G$7),1,0),0)</f>
        <v>0</v>
      </c>
      <c r="O722" s="13">
        <f>IF(C722="",IF(COUNTA(D722:J722)&gt;0,1,0),IF(OR(COUNTIFS($C$9:$C$1008,C722)&lt;&gt;1,NOT(ISNUMBER(D722)),NOT(ISNUMBER(I722)),L722="",AND(F722&lt;&gt;"",COUNTIFS(Umowy!$C$9:$C$108,F722,Umowy!$D$9:$D$108,L722)&lt;&gt;1)),1,0))</f>
        <v>0</v>
      </c>
      <c r="P722" s="7" t="str">
        <f t="shared" si="34"/>
        <v/>
      </c>
      <c r="Q722" s="7" t="str">
        <f t="shared" si="35"/>
        <v/>
      </c>
    </row>
    <row r="723" spans="1:17" ht="24" customHeight="1">
      <c r="A723" s="7"/>
      <c r="B723" s="7"/>
      <c r="C723" s="3"/>
      <c r="D723" s="2"/>
      <c r="E723" s="3"/>
      <c r="F723" s="3"/>
      <c r="G723" s="3"/>
      <c r="H723" s="3"/>
      <c r="I723" s="6"/>
      <c r="J723" s="3"/>
      <c r="K723" s="7"/>
      <c r="L723" s="13" t="str">
        <f>IF(C723="","",IF(COUNTIFS(Parametry!$C$54:$C$113,E723)=1,INDEX(Parametry!$D$54:$D$113,MATCH(E723,Parametry!$C$54:$C$113,0)),""))</f>
        <v/>
      </c>
      <c r="M723" s="7">
        <f t="shared" si="33"/>
        <v>0</v>
      </c>
      <c r="N723" s="13">
        <f>IF(AND(ISNUMBER(D723),ISNUMBER(Parametry!$G$6)),IF(AND(YEAR(D723)=Parametry!$G$6,M723&lt;=Parametry!$G$7),1,0),0)</f>
        <v>0</v>
      </c>
      <c r="O723" s="13">
        <f>IF(C723="",IF(COUNTA(D723:J723)&gt;0,1,0),IF(OR(COUNTIFS($C$9:$C$1008,C723)&lt;&gt;1,NOT(ISNUMBER(D723)),NOT(ISNUMBER(I723)),L723="",AND(F723&lt;&gt;"",COUNTIFS(Umowy!$C$9:$C$108,F723,Umowy!$D$9:$D$108,L723)&lt;&gt;1)),1,0))</f>
        <v>0</v>
      </c>
      <c r="P723" s="7" t="str">
        <f t="shared" si="34"/>
        <v/>
      </c>
      <c r="Q723" s="7" t="str">
        <f t="shared" si="35"/>
        <v/>
      </c>
    </row>
    <row r="724" spans="1:17" ht="24" customHeight="1">
      <c r="A724" s="7"/>
      <c r="B724" s="7"/>
      <c r="C724" s="3"/>
      <c r="D724" s="2"/>
      <c r="E724" s="3"/>
      <c r="F724" s="3"/>
      <c r="G724" s="3"/>
      <c r="H724" s="3"/>
      <c r="I724" s="6"/>
      <c r="J724" s="3"/>
      <c r="K724" s="7"/>
      <c r="L724" s="13" t="str">
        <f>IF(C724="","",IF(COUNTIFS(Parametry!$C$54:$C$113,E724)=1,INDEX(Parametry!$D$54:$D$113,MATCH(E724,Parametry!$C$54:$C$113,0)),""))</f>
        <v/>
      </c>
      <c r="M724" s="7">
        <f t="shared" si="33"/>
        <v>0</v>
      </c>
      <c r="N724" s="13">
        <f>IF(AND(ISNUMBER(D724),ISNUMBER(Parametry!$G$6)),IF(AND(YEAR(D724)=Parametry!$G$6,M724&lt;=Parametry!$G$7),1,0),0)</f>
        <v>0</v>
      </c>
      <c r="O724" s="13">
        <f>IF(C724="",IF(COUNTA(D724:J724)&gt;0,1,0),IF(OR(COUNTIFS($C$9:$C$1008,C724)&lt;&gt;1,NOT(ISNUMBER(D724)),NOT(ISNUMBER(I724)),L724="",AND(F724&lt;&gt;"",COUNTIFS(Umowy!$C$9:$C$108,F724,Umowy!$D$9:$D$108,L724)&lt;&gt;1)),1,0))</f>
        <v>0</v>
      </c>
      <c r="P724" s="7" t="str">
        <f t="shared" si="34"/>
        <v/>
      </c>
      <c r="Q724" s="7" t="str">
        <f t="shared" si="35"/>
        <v/>
      </c>
    </row>
    <row r="725" spans="1:17" ht="24" customHeight="1">
      <c r="A725" s="7"/>
      <c r="B725" s="7"/>
      <c r="C725" s="3"/>
      <c r="D725" s="2"/>
      <c r="E725" s="3"/>
      <c r="F725" s="3"/>
      <c r="G725" s="3"/>
      <c r="H725" s="3"/>
      <c r="I725" s="6"/>
      <c r="J725" s="3"/>
      <c r="K725" s="7"/>
      <c r="L725" s="13" t="str">
        <f>IF(C725="","",IF(COUNTIFS(Parametry!$C$54:$C$113,E725)=1,INDEX(Parametry!$D$54:$D$113,MATCH(E725,Parametry!$C$54:$C$113,0)),""))</f>
        <v/>
      </c>
      <c r="M725" s="7">
        <f t="shared" si="33"/>
        <v>0</v>
      </c>
      <c r="N725" s="13">
        <f>IF(AND(ISNUMBER(D725),ISNUMBER(Parametry!$G$6)),IF(AND(YEAR(D725)=Parametry!$G$6,M725&lt;=Parametry!$G$7),1,0),0)</f>
        <v>0</v>
      </c>
      <c r="O725" s="13">
        <f>IF(C725="",IF(COUNTA(D725:J725)&gt;0,1,0),IF(OR(COUNTIFS($C$9:$C$1008,C725)&lt;&gt;1,NOT(ISNUMBER(D725)),NOT(ISNUMBER(I725)),L725="",AND(F725&lt;&gt;"",COUNTIFS(Umowy!$C$9:$C$108,F725,Umowy!$D$9:$D$108,L725)&lt;&gt;1)),1,0))</f>
        <v>0</v>
      </c>
      <c r="P725" s="7" t="str">
        <f t="shared" si="34"/>
        <v/>
      </c>
      <c r="Q725" s="7" t="str">
        <f t="shared" si="35"/>
        <v/>
      </c>
    </row>
    <row r="726" spans="1:17" ht="24" customHeight="1">
      <c r="A726" s="7"/>
      <c r="B726" s="7"/>
      <c r="C726" s="3"/>
      <c r="D726" s="2"/>
      <c r="E726" s="3"/>
      <c r="F726" s="3"/>
      <c r="G726" s="3"/>
      <c r="H726" s="3"/>
      <c r="I726" s="6"/>
      <c r="J726" s="3"/>
      <c r="K726" s="7"/>
      <c r="L726" s="13" t="str">
        <f>IF(C726="","",IF(COUNTIFS(Parametry!$C$54:$C$113,E726)=1,INDEX(Parametry!$D$54:$D$113,MATCH(E726,Parametry!$C$54:$C$113,0)),""))</f>
        <v/>
      </c>
      <c r="M726" s="7">
        <f t="shared" si="33"/>
        <v>0</v>
      </c>
      <c r="N726" s="13">
        <f>IF(AND(ISNUMBER(D726),ISNUMBER(Parametry!$G$6)),IF(AND(YEAR(D726)=Parametry!$G$6,M726&lt;=Parametry!$G$7),1,0),0)</f>
        <v>0</v>
      </c>
      <c r="O726" s="13">
        <f>IF(C726="",IF(COUNTA(D726:J726)&gt;0,1,0),IF(OR(COUNTIFS($C$9:$C$1008,C726)&lt;&gt;1,NOT(ISNUMBER(D726)),NOT(ISNUMBER(I726)),L726="",AND(F726&lt;&gt;"",COUNTIFS(Umowy!$C$9:$C$108,F726,Umowy!$D$9:$D$108,L726)&lt;&gt;1)),1,0))</f>
        <v>0</v>
      </c>
      <c r="P726" s="7" t="str">
        <f t="shared" si="34"/>
        <v/>
      </c>
      <c r="Q726" s="7" t="str">
        <f t="shared" si="35"/>
        <v/>
      </c>
    </row>
    <row r="727" spans="1:17" ht="24" customHeight="1">
      <c r="A727" s="7"/>
      <c r="B727" s="7"/>
      <c r="C727" s="3"/>
      <c r="D727" s="2"/>
      <c r="E727" s="3"/>
      <c r="F727" s="3"/>
      <c r="G727" s="3"/>
      <c r="H727" s="3"/>
      <c r="I727" s="6"/>
      <c r="J727" s="3"/>
      <c r="K727" s="7"/>
      <c r="L727" s="13" t="str">
        <f>IF(C727="","",IF(COUNTIFS(Parametry!$C$54:$C$113,E727)=1,INDEX(Parametry!$D$54:$D$113,MATCH(E727,Parametry!$C$54:$C$113,0)),""))</f>
        <v/>
      </c>
      <c r="M727" s="7">
        <f t="shared" si="33"/>
        <v>0</v>
      </c>
      <c r="N727" s="13">
        <f>IF(AND(ISNUMBER(D727),ISNUMBER(Parametry!$G$6)),IF(AND(YEAR(D727)=Parametry!$G$6,M727&lt;=Parametry!$G$7),1,0),0)</f>
        <v>0</v>
      </c>
      <c r="O727" s="13">
        <f>IF(C727="",IF(COUNTA(D727:J727)&gt;0,1,0),IF(OR(COUNTIFS($C$9:$C$1008,C727)&lt;&gt;1,NOT(ISNUMBER(D727)),NOT(ISNUMBER(I727)),L727="",AND(F727&lt;&gt;"",COUNTIFS(Umowy!$C$9:$C$108,F727,Umowy!$D$9:$D$108,L727)&lt;&gt;1)),1,0))</f>
        <v>0</v>
      </c>
      <c r="P727" s="7" t="str">
        <f t="shared" si="34"/>
        <v/>
      </c>
      <c r="Q727" s="7" t="str">
        <f t="shared" si="35"/>
        <v/>
      </c>
    </row>
    <row r="728" spans="1:17" ht="24" customHeight="1">
      <c r="A728" s="7"/>
      <c r="B728" s="7"/>
      <c r="C728" s="3"/>
      <c r="D728" s="2"/>
      <c r="E728" s="3"/>
      <c r="F728" s="3"/>
      <c r="G728" s="3"/>
      <c r="H728" s="3"/>
      <c r="I728" s="6"/>
      <c r="J728" s="3"/>
      <c r="K728" s="7"/>
      <c r="L728" s="13" t="str">
        <f>IF(C728="","",IF(COUNTIFS(Parametry!$C$54:$C$113,E728)=1,INDEX(Parametry!$D$54:$D$113,MATCH(E728,Parametry!$C$54:$C$113,0)),""))</f>
        <v/>
      </c>
      <c r="M728" s="7">
        <f t="shared" si="33"/>
        <v>0</v>
      </c>
      <c r="N728" s="13">
        <f>IF(AND(ISNUMBER(D728),ISNUMBER(Parametry!$G$6)),IF(AND(YEAR(D728)=Parametry!$G$6,M728&lt;=Parametry!$G$7),1,0),0)</f>
        <v>0</v>
      </c>
      <c r="O728" s="13">
        <f>IF(C728="",IF(COUNTA(D728:J728)&gt;0,1,0),IF(OR(COUNTIFS($C$9:$C$1008,C728)&lt;&gt;1,NOT(ISNUMBER(D728)),NOT(ISNUMBER(I728)),L728="",AND(F728&lt;&gt;"",COUNTIFS(Umowy!$C$9:$C$108,F728,Umowy!$D$9:$D$108,L728)&lt;&gt;1)),1,0))</f>
        <v>0</v>
      </c>
      <c r="P728" s="7" t="str">
        <f t="shared" si="34"/>
        <v/>
      </c>
      <c r="Q728" s="7" t="str">
        <f t="shared" si="35"/>
        <v/>
      </c>
    </row>
    <row r="729" spans="1:17" ht="24" customHeight="1">
      <c r="A729" s="7"/>
      <c r="B729" s="7"/>
      <c r="C729" s="3"/>
      <c r="D729" s="2"/>
      <c r="E729" s="3"/>
      <c r="F729" s="3"/>
      <c r="G729" s="3"/>
      <c r="H729" s="3"/>
      <c r="I729" s="6"/>
      <c r="J729" s="3"/>
      <c r="K729" s="7"/>
      <c r="L729" s="13" t="str">
        <f>IF(C729="","",IF(COUNTIFS(Parametry!$C$54:$C$113,E729)=1,INDEX(Parametry!$D$54:$D$113,MATCH(E729,Parametry!$C$54:$C$113,0)),""))</f>
        <v/>
      </c>
      <c r="M729" s="7">
        <f t="shared" si="33"/>
        <v>0</v>
      </c>
      <c r="N729" s="13">
        <f>IF(AND(ISNUMBER(D729),ISNUMBER(Parametry!$G$6)),IF(AND(YEAR(D729)=Parametry!$G$6,M729&lt;=Parametry!$G$7),1,0),0)</f>
        <v>0</v>
      </c>
      <c r="O729" s="13">
        <f>IF(C729="",IF(COUNTA(D729:J729)&gt;0,1,0),IF(OR(COUNTIFS($C$9:$C$1008,C729)&lt;&gt;1,NOT(ISNUMBER(D729)),NOT(ISNUMBER(I729)),L729="",AND(F729&lt;&gt;"",COUNTIFS(Umowy!$C$9:$C$108,F729,Umowy!$D$9:$D$108,L729)&lt;&gt;1)),1,0))</f>
        <v>0</v>
      </c>
      <c r="P729" s="7" t="str">
        <f t="shared" si="34"/>
        <v/>
      </c>
      <c r="Q729" s="7" t="str">
        <f t="shared" si="35"/>
        <v/>
      </c>
    </row>
    <row r="730" spans="1:17" ht="24" customHeight="1">
      <c r="A730" s="7"/>
      <c r="B730" s="7"/>
      <c r="C730" s="3"/>
      <c r="D730" s="2"/>
      <c r="E730" s="3"/>
      <c r="F730" s="3"/>
      <c r="G730" s="3"/>
      <c r="H730" s="3"/>
      <c r="I730" s="6"/>
      <c r="J730" s="3"/>
      <c r="K730" s="7"/>
      <c r="L730" s="13" t="str">
        <f>IF(C730="","",IF(COUNTIFS(Parametry!$C$54:$C$113,E730)=1,INDEX(Parametry!$D$54:$D$113,MATCH(E730,Parametry!$C$54:$C$113,0)),""))</f>
        <v/>
      </c>
      <c r="M730" s="7">
        <f t="shared" si="33"/>
        <v>0</v>
      </c>
      <c r="N730" s="13">
        <f>IF(AND(ISNUMBER(D730),ISNUMBER(Parametry!$G$6)),IF(AND(YEAR(D730)=Parametry!$G$6,M730&lt;=Parametry!$G$7),1,0),0)</f>
        <v>0</v>
      </c>
      <c r="O730" s="13">
        <f>IF(C730="",IF(COUNTA(D730:J730)&gt;0,1,0),IF(OR(COUNTIFS($C$9:$C$1008,C730)&lt;&gt;1,NOT(ISNUMBER(D730)),NOT(ISNUMBER(I730)),L730="",AND(F730&lt;&gt;"",COUNTIFS(Umowy!$C$9:$C$108,F730,Umowy!$D$9:$D$108,L730)&lt;&gt;1)),1,0))</f>
        <v>0</v>
      </c>
      <c r="P730" s="7" t="str">
        <f t="shared" si="34"/>
        <v/>
      </c>
      <c r="Q730" s="7" t="str">
        <f t="shared" si="35"/>
        <v/>
      </c>
    </row>
    <row r="731" spans="1:17" ht="24" customHeight="1">
      <c r="A731" s="7"/>
      <c r="B731" s="7"/>
      <c r="C731" s="3"/>
      <c r="D731" s="2"/>
      <c r="E731" s="3"/>
      <c r="F731" s="3"/>
      <c r="G731" s="3"/>
      <c r="H731" s="3"/>
      <c r="I731" s="6"/>
      <c r="J731" s="3"/>
      <c r="K731" s="7"/>
      <c r="L731" s="13" t="str">
        <f>IF(C731="","",IF(COUNTIFS(Parametry!$C$54:$C$113,E731)=1,INDEX(Parametry!$D$54:$D$113,MATCH(E731,Parametry!$C$54:$C$113,0)),""))</f>
        <v/>
      </c>
      <c r="M731" s="7">
        <f t="shared" si="33"/>
        <v>0</v>
      </c>
      <c r="N731" s="13">
        <f>IF(AND(ISNUMBER(D731),ISNUMBER(Parametry!$G$6)),IF(AND(YEAR(D731)=Parametry!$G$6,M731&lt;=Parametry!$G$7),1,0),0)</f>
        <v>0</v>
      </c>
      <c r="O731" s="13">
        <f>IF(C731="",IF(COUNTA(D731:J731)&gt;0,1,0),IF(OR(COUNTIFS($C$9:$C$1008,C731)&lt;&gt;1,NOT(ISNUMBER(D731)),NOT(ISNUMBER(I731)),L731="",AND(F731&lt;&gt;"",COUNTIFS(Umowy!$C$9:$C$108,F731,Umowy!$D$9:$D$108,L731)&lt;&gt;1)),1,0))</f>
        <v>0</v>
      </c>
      <c r="P731" s="7" t="str">
        <f t="shared" si="34"/>
        <v/>
      </c>
      <c r="Q731" s="7" t="str">
        <f t="shared" si="35"/>
        <v/>
      </c>
    </row>
    <row r="732" spans="1:17" ht="24" customHeight="1">
      <c r="A732" s="7"/>
      <c r="B732" s="7"/>
      <c r="C732" s="3"/>
      <c r="D732" s="2"/>
      <c r="E732" s="3"/>
      <c r="F732" s="3"/>
      <c r="G732" s="3"/>
      <c r="H732" s="3"/>
      <c r="I732" s="6"/>
      <c r="J732" s="3"/>
      <c r="K732" s="7"/>
      <c r="L732" s="13" t="str">
        <f>IF(C732="","",IF(COUNTIFS(Parametry!$C$54:$C$113,E732)=1,INDEX(Parametry!$D$54:$D$113,MATCH(E732,Parametry!$C$54:$C$113,0)),""))</f>
        <v/>
      </c>
      <c r="M732" s="7">
        <f t="shared" si="33"/>
        <v>0</v>
      </c>
      <c r="N732" s="13">
        <f>IF(AND(ISNUMBER(D732),ISNUMBER(Parametry!$G$6)),IF(AND(YEAR(D732)=Parametry!$G$6,M732&lt;=Parametry!$G$7),1,0),0)</f>
        <v>0</v>
      </c>
      <c r="O732" s="13">
        <f>IF(C732="",IF(COUNTA(D732:J732)&gt;0,1,0),IF(OR(COUNTIFS($C$9:$C$1008,C732)&lt;&gt;1,NOT(ISNUMBER(D732)),NOT(ISNUMBER(I732)),L732="",AND(F732&lt;&gt;"",COUNTIFS(Umowy!$C$9:$C$108,F732,Umowy!$D$9:$D$108,L732)&lt;&gt;1)),1,0))</f>
        <v>0</v>
      </c>
      <c r="P732" s="7" t="str">
        <f t="shared" si="34"/>
        <v/>
      </c>
      <c r="Q732" s="7" t="str">
        <f t="shared" si="35"/>
        <v/>
      </c>
    </row>
    <row r="733" spans="1:17" ht="24" customHeight="1">
      <c r="A733" s="7"/>
      <c r="B733" s="7"/>
      <c r="C733" s="3"/>
      <c r="D733" s="2"/>
      <c r="E733" s="3"/>
      <c r="F733" s="3"/>
      <c r="G733" s="3"/>
      <c r="H733" s="3"/>
      <c r="I733" s="6"/>
      <c r="J733" s="3"/>
      <c r="K733" s="7"/>
      <c r="L733" s="13" t="str">
        <f>IF(C733="","",IF(COUNTIFS(Parametry!$C$54:$C$113,E733)=1,INDEX(Parametry!$D$54:$D$113,MATCH(E733,Parametry!$C$54:$C$113,0)),""))</f>
        <v/>
      </c>
      <c r="M733" s="7">
        <f t="shared" si="33"/>
        <v>0</v>
      </c>
      <c r="N733" s="13">
        <f>IF(AND(ISNUMBER(D733),ISNUMBER(Parametry!$G$6)),IF(AND(YEAR(D733)=Parametry!$G$6,M733&lt;=Parametry!$G$7),1,0),0)</f>
        <v>0</v>
      </c>
      <c r="O733" s="13">
        <f>IF(C733="",IF(COUNTA(D733:J733)&gt;0,1,0),IF(OR(COUNTIFS($C$9:$C$1008,C733)&lt;&gt;1,NOT(ISNUMBER(D733)),NOT(ISNUMBER(I733)),L733="",AND(F733&lt;&gt;"",COUNTIFS(Umowy!$C$9:$C$108,F733,Umowy!$D$9:$D$108,L733)&lt;&gt;1)),1,0))</f>
        <v>0</v>
      </c>
      <c r="P733" s="7" t="str">
        <f t="shared" si="34"/>
        <v/>
      </c>
      <c r="Q733" s="7" t="str">
        <f t="shared" si="35"/>
        <v/>
      </c>
    </row>
    <row r="734" spans="1:17" ht="24" customHeight="1">
      <c r="A734" s="7"/>
      <c r="B734" s="7"/>
      <c r="C734" s="3"/>
      <c r="D734" s="2"/>
      <c r="E734" s="3"/>
      <c r="F734" s="3"/>
      <c r="G734" s="3"/>
      <c r="H734" s="3"/>
      <c r="I734" s="6"/>
      <c r="J734" s="3"/>
      <c r="K734" s="7"/>
      <c r="L734" s="13" t="str">
        <f>IF(C734="","",IF(COUNTIFS(Parametry!$C$54:$C$113,E734)=1,INDEX(Parametry!$D$54:$D$113,MATCH(E734,Parametry!$C$54:$C$113,0)),""))</f>
        <v/>
      </c>
      <c r="M734" s="7">
        <f t="shared" si="33"/>
        <v>0</v>
      </c>
      <c r="N734" s="13">
        <f>IF(AND(ISNUMBER(D734),ISNUMBER(Parametry!$G$6)),IF(AND(YEAR(D734)=Parametry!$G$6,M734&lt;=Parametry!$G$7),1,0),0)</f>
        <v>0</v>
      </c>
      <c r="O734" s="13">
        <f>IF(C734="",IF(COUNTA(D734:J734)&gt;0,1,0),IF(OR(COUNTIFS($C$9:$C$1008,C734)&lt;&gt;1,NOT(ISNUMBER(D734)),NOT(ISNUMBER(I734)),L734="",AND(F734&lt;&gt;"",COUNTIFS(Umowy!$C$9:$C$108,F734,Umowy!$D$9:$D$108,L734)&lt;&gt;1)),1,0))</f>
        <v>0</v>
      </c>
      <c r="P734" s="7" t="str">
        <f t="shared" si="34"/>
        <v/>
      </c>
      <c r="Q734" s="7" t="str">
        <f t="shared" si="35"/>
        <v/>
      </c>
    </row>
    <row r="735" spans="1:17" ht="24" customHeight="1">
      <c r="A735" s="7"/>
      <c r="B735" s="7"/>
      <c r="C735" s="3"/>
      <c r="D735" s="2"/>
      <c r="E735" s="3"/>
      <c r="F735" s="3"/>
      <c r="G735" s="3"/>
      <c r="H735" s="3"/>
      <c r="I735" s="6"/>
      <c r="J735" s="3"/>
      <c r="K735" s="7"/>
      <c r="L735" s="13" t="str">
        <f>IF(C735="","",IF(COUNTIFS(Parametry!$C$54:$C$113,E735)=1,INDEX(Parametry!$D$54:$D$113,MATCH(E735,Parametry!$C$54:$C$113,0)),""))</f>
        <v/>
      </c>
      <c r="M735" s="7">
        <f t="shared" si="33"/>
        <v>0</v>
      </c>
      <c r="N735" s="13">
        <f>IF(AND(ISNUMBER(D735),ISNUMBER(Parametry!$G$6)),IF(AND(YEAR(D735)=Parametry!$G$6,M735&lt;=Parametry!$G$7),1,0),0)</f>
        <v>0</v>
      </c>
      <c r="O735" s="13">
        <f>IF(C735="",IF(COUNTA(D735:J735)&gt;0,1,0),IF(OR(COUNTIFS($C$9:$C$1008,C735)&lt;&gt;1,NOT(ISNUMBER(D735)),NOT(ISNUMBER(I735)),L735="",AND(F735&lt;&gt;"",COUNTIFS(Umowy!$C$9:$C$108,F735,Umowy!$D$9:$D$108,L735)&lt;&gt;1)),1,0))</f>
        <v>0</v>
      </c>
      <c r="P735" s="7" t="str">
        <f t="shared" si="34"/>
        <v/>
      </c>
      <c r="Q735" s="7" t="str">
        <f t="shared" si="35"/>
        <v/>
      </c>
    </row>
    <row r="736" spans="1:17" ht="24" customHeight="1">
      <c r="A736" s="7"/>
      <c r="B736" s="7"/>
      <c r="C736" s="3"/>
      <c r="D736" s="2"/>
      <c r="E736" s="3"/>
      <c r="F736" s="3"/>
      <c r="G736" s="3"/>
      <c r="H736" s="3"/>
      <c r="I736" s="6"/>
      <c r="J736" s="3"/>
      <c r="K736" s="7"/>
      <c r="L736" s="13" t="str">
        <f>IF(C736="","",IF(COUNTIFS(Parametry!$C$54:$C$113,E736)=1,INDEX(Parametry!$D$54:$D$113,MATCH(E736,Parametry!$C$54:$C$113,0)),""))</f>
        <v/>
      </c>
      <c r="M736" s="7">
        <f t="shared" si="33"/>
        <v>0</v>
      </c>
      <c r="N736" s="13">
        <f>IF(AND(ISNUMBER(D736),ISNUMBER(Parametry!$G$6)),IF(AND(YEAR(D736)=Parametry!$G$6,M736&lt;=Parametry!$G$7),1,0),0)</f>
        <v>0</v>
      </c>
      <c r="O736" s="13">
        <f>IF(C736="",IF(COUNTA(D736:J736)&gt;0,1,0),IF(OR(COUNTIFS($C$9:$C$1008,C736)&lt;&gt;1,NOT(ISNUMBER(D736)),NOT(ISNUMBER(I736)),L736="",AND(F736&lt;&gt;"",COUNTIFS(Umowy!$C$9:$C$108,F736,Umowy!$D$9:$D$108,L736)&lt;&gt;1)),1,0))</f>
        <v>0</v>
      </c>
      <c r="P736" s="7" t="str">
        <f t="shared" si="34"/>
        <v/>
      </c>
      <c r="Q736" s="7" t="str">
        <f t="shared" si="35"/>
        <v/>
      </c>
    </row>
    <row r="737" spans="1:17" ht="24" customHeight="1">
      <c r="A737" s="7"/>
      <c r="B737" s="7"/>
      <c r="C737" s="3"/>
      <c r="D737" s="2"/>
      <c r="E737" s="3"/>
      <c r="F737" s="3"/>
      <c r="G737" s="3"/>
      <c r="H737" s="3"/>
      <c r="I737" s="6"/>
      <c r="J737" s="3"/>
      <c r="K737" s="7"/>
      <c r="L737" s="13" t="str">
        <f>IF(C737="","",IF(COUNTIFS(Parametry!$C$54:$C$113,E737)=1,INDEX(Parametry!$D$54:$D$113,MATCH(E737,Parametry!$C$54:$C$113,0)),""))</f>
        <v/>
      </c>
      <c r="M737" s="7">
        <f t="shared" si="33"/>
        <v>0</v>
      </c>
      <c r="N737" s="13">
        <f>IF(AND(ISNUMBER(D737),ISNUMBER(Parametry!$G$6)),IF(AND(YEAR(D737)=Parametry!$G$6,M737&lt;=Parametry!$G$7),1,0),0)</f>
        <v>0</v>
      </c>
      <c r="O737" s="13">
        <f>IF(C737="",IF(COUNTA(D737:J737)&gt;0,1,0),IF(OR(COUNTIFS($C$9:$C$1008,C737)&lt;&gt;1,NOT(ISNUMBER(D737)),NOT(ISNUMBER(I737)),L737="",AND(F737&lt;&gt;"",COUNTIFS(Umowy!$C$9:$C$108,F737,Umowy!$D$9:$D$108,L737)&lt;&gt;1)),1,0))</f>
        <v>0</v>
      </c>
      <c r="P737" s="7" t="str">
        <f t="shared" si="34"/>
        <v/>
      </c>
      <c r="Q737" s="7" t="str">
        <f t="shared" si="35"/>
        <v/>
      </c>
    </row>
    <row r="738" spans="1:17" ht="24" customHeight="1">
      <c r="A738" s="7"/>
      <c r="B738" s="7"/>
      <c r="C738" s="3"/>
      <c r="D738" s="2"/>
      <c r="E738" s="3"/>
      <c r="F738" s="3"/>
      <c r="G738" s="3"/>
      <c r="H738" s="3"/>
      <c r="I738" s="6"/>
      <c r="J738" s="3"/>
      <c r="K738" s="7"/>
      <c r="L738" s="13" t="str">
        <f>IF(C738="","",IF(COUNTIFS(Parametry!$C$54:$C$113,E738)=1,INDEX(Parametry!$D$54:$D$113,MATCH(E738,Parametry!$C$54:$C$113,0)),""))</f>
        <v/>
      </c>
      <c r="M738" s="7">
        <f t="shared" si="33"/>
        <v>0</v>
      </c>
      <c r="N738" s="13">
        <f>IF(AND(ISNUMBER(D738),ISNUMBER(Parametry!$G$6)),IF(AND(YEAR(D738)=Parametry!$G$6,M738&lt;=Parametry!$G$7),1,0),0)</f>
        <v>0</v>
      </c>
      <c r="O738" s="13">
        <f>IF(C738="",IF(COUNTA(D738:J738)&gt;0,1,0),IF(OR(COUNTIFS($C$9:$C$1008,C738)&lt;&gt;1,NOT(ISNUMBER(D738)),NOT(ISNUMBER(I738)),L738="",AND(F738&lt;&gt;"",COUNTIFS(Umowy!$C$9:$C$108,F738,Umowy!$D$9:$D$108,L738)&lt;&gt;1)),1,0))</f>
        <v>0</v>
      </c>
      <c r="P738" s="7" t="str">
        <f t="shared" si="34"/>
        <v/>
      </c>
      <c r="Q738" s="7" t="str">
        <f t="shared" si="35"/>
        <v/>
      </c>
    </row>
    <row r="739" spans="1:17" ht="24" customHeight="1">
      <c r="A739" s="7"/>
      <c r="B739" s="7"/>
      <c r="C739" s="3"/>
      <c r="D739" s="2"/>
      <c r="E739" s="3"/>
      <c r="F739" s="3"/>
      <c r="G739" s="3"/>
      <c r="H739" s="3"/>
      <c r="I739" s="6"/>
      <c r="J739" s="3"/>
      <c r="K739" s="7"/>
      <c r="L739" s="13" t="str">
        <f>IF(C739="","",IF(COUNTIFS(Parametry!$C$54:$C$113,E739)=1,INDEX(Parametry!$D$54:$D$113,MATCH(E739,Parametry!$C$54:$C$113,0)),""))</f>
        <v/>
      </c>
      <c r="M739" s="7">
        <f t="shared" si="33"/>
        <v>0</v>
      </c>
      <c r="N739" s="13">
        <f>IF(AND(ISNUMBER(D739),ISNUMBER(Parametry!$G$6)),IF(AND(YEAR(D739)=Parametry!$G$6,M739&lt;=Parametry!$G$7),1,0),0)</f>
        <v>0</v>
      </c>
      <c r="O739" s="13">
        <f>IF(C739="",IF(COUNTA(D739:J739)&gt;0,1,0),IF(OR(COUNTIFS($C$9:$C$1008,C739)&lt;&gt;1,NOT(ISNUMBER(D739)),NOT(ISNUMBER(I739)),L739="",AND(F739&lt;&gt;"",COUNTIFS(Umowy!$C$9:$C$108,F739,Umowy!$D$9:$D$108,L739)&lt;&gt;1)),1,0))</f>
        <v>0</v>
      </c>
      <c r="P739" s="7" t="str">
        <f t="shared" si="34"/>
        <v/>
      </c>
      <c r="Q739" s="7" t="str">
        <f t="shared" si="35"/>
        <v/>
      </c>
    </row>
    <row r="740" spans="1:17" ht="24" customHeight="1">
      <c r="A740" s="7"/>
      <c r="B740" s="7"/>
      <c r="C740" s="3"/>
      <c r="D740" s="2"/>
      <c r="E740" s="3"/>
      <c r="F740" s="3"/>
      <c r="G740" s="3"/>
      <c r="H740" s="3"/>
      <c r="I740" s="6"/>
      <c r="J740" s="3"/>
      <c r="K740" s="7"/>
      <c r="L740" s="13" t="str">
        <f>IF(C740="","",IF(COUNTIFS(Parametry!$C$54:$C$113,E740)=1,INDEX(Parametry!$D$54:$D$113,MATCH(E740,Parametry!$C$54:$C$113,0)),""))</f>
        <v/>
      </c>
      <c r="M740" s="7">
        <f t="shared" si="33"/>
        <v>0</v>
      </c>
      <c r="N740" s="13">
        <f>IF(AND(ISNUMBER(D740),ISNUMBER(Parametry!$G$6)),IF(AND(YEAR(D740)=Parametry!$G$6,M740&lt;=Parametry!$G$7),1,0),0)</f>
        <v>0</v>
      </c>
      <c r="O740" s="13">
        <f>IF(C740="",IF(COUNTA(D740:J740)&gt;0,1,0),IF(OR(COUNTIFS($C$9:$C$1008,C740)&lt;&gt;1,NOT(ISNUMBER(D740)),NOT(ISNUMBER(I740)),L740="",AND(F740&lt;&gt;"",COUNTIFS(Umowy!$C$9:$C$108,F740,Umowy!$D$9:$D$108,L740)&lt;&gt;1)),1,0))</f>
        <v>0</v>
      </c>
      <c r="P740" s="7" t="str">
        <f t="shared" si="34"/>
        <v/>
      </c>
      <c r="Q740" s="7" t="str">
        <f t="shared" si="35"/>
        <v/>
      </c>
    </row>
    <row r="741" spans="1:17" ht="24" customHeight="1">
      <c r="A741" s="7"/>
      <c r="B741" s="7"/>
      <c r="C741" s="3"/>
      <c r="D741" s="2"/>
      <c r="E741" s="3"/>
      <c r="F741" s="3"/>
      <c r="G741" s="3"/>
      <c r="H741" s="3"/>
      <c r="I741" s="6"/>
      <c r="J741" s="3"/>
      <c r="K741" s="7"/>
      <c r="L741" s="13" t="str">
        <f>IF(C741="","",IF(COUNTIFS(Parametry!$C$54:$C$113,E741)=1,INDEX(Parametry!$D$54:$D$113,MATCH(E741,Parametry!$C$54:$C$113,0)),""))</f>
        <v/>
      </c>
      <c r="M741" s="7">
        <f t="shared" si="33"/>
        <v>0</v>
      </c>
      <c r="N741" s="13">
        <f>IF(AND(ISNUMBER(D741),ISNUMBER(Parametry!$G$6)),IF(AND(YEAR(D741)=Parametry!$G$6,M741&lt;=Parametry!$G$7),1,0),0)</f>
        <v>0</v>
      </c>
      <c r="O741" s="13">
        <f>IF(C741="",IF(COUNTA(D741:J741)&gt;0,1,0),IF(OR(COUNTIFS($C$9:$C$1008,C741)&lt;&gt;1,NOT(ISNUMBER(D741)),NOT(ISNUMBER(I741)),L741="",AND(F741&lt;&gt;"",COUNTIFS(Umowy!$C$9:$C$108,F741,Umowy!$D$9:$D$108,L741)&lt;&gt;1)),1,0))</f>
        <v>0</v>
      </c>
      <c r="P741" s="7" t="str">
        <f t="shared" si="34"/>
        <v/>
      </c>
      <c r="Q741" s="7" t="str">
        <f t="shared" si="35"/>
        <v/>
      </c>
    </row>
    <row r="742" spans="1:17" ht="24" customHeight="1">
      <c r="A742" s="7"/>
      <c r="B742" s="7"/>
      <c r="C742" s="3"/>
      <c r="D742" s="2"/>
      <c r="E742" s="3"/>
      <c r="F742" s="3"/>
      <c r="G742" s="3"/>
      <c r="H742" s="3"/>
      <c r="I742" s="6"/>
      <c r="J742" s="3"/>
      <c r="K742" s="7"/>
      <c r="L742" s="13" t="str">
        <f>IF(C742="","",IF(COUNTIFS(Parametry!$C$54:$C$113,E742)=1,INDEX(Parametry!$D$54:$D$113,MATCH(E742,Parametry!$C$54:$C$113,0)),""))</f>
        <v/>
      </c>
      <c r="M742" s="7">
        <f t="shared" si="33"/>
        <v>0</v>
      </c>
      <c r="N742" s="13">
        <f>IF(AND(ISNUMBER(D742),ISNUMBER(Parametry!$G$6)),IF(AND(YEAR(D742)=Parametry!$G$6,M742&lt;=Parametry!$G$7),1,0),0)</f>
        <v>0</v>
      </c>
      <c r="O742" s="13">
        <f>IF(C742="",IF(COUNTA(D742:J742)&gt;0,1,0),IF(OR(COUNTIFS($C$9:$C$1008,C742)&lt;&gt;1,NOT(ISNUMBER(D742)),NOT(ISNUMBER(I742)),L742="",AND(F742&lt;&gt;"",COUNTIFS(Umowy!$C$9:$C$108,F742,Umowy!$D$9:$D$108,L742)&lt;&gt;1)),1,0))</f>
        <v>0</v>
      </c>
      <c r="P742" s="7" t="str">
        <f t="shared" si="34"/>
        <v/>
      </c>
      <c r="Q742" s="7" t="str">
        <f t="shared" si="35"/>
        <v/>
      </c>
    </row>
    <row r="743" spans="1:17" ht="24" customHeight="1">
      <c r="A743" s="7"/>
      <c r="B743" s="7"/>
      <c r="C743" s="3"/>
      <c r="D743" s="2"/>
      <c r="E743" s="3"/>
      <c r="F743" s="3"/>
      <c r="G743" s="3"/>
      <c r="H743" s="3"/>
      <c r="I743" s="6"/>
      <c r="J743" s="3"/>
      <c r="K743" s="7"/>
      <c r="L743" s="13" t="str">
        <f>IF(C743="","",IF(COUNTIFS(Parametry!$C$54:$C$113,E743)=1,INDEX(Parametry!$D$54:$D$113,MATCH(E743,Parametry!$C$54:$C$113,0)),""))</f>
        <v/>
      </c>
      <c r="M743" s="7">
        <f t="shared" si="33"/>
        <v>0</v>
      </c>
      <c r="N743" s="13">
        <f>IF(AND(ISNUMBER(D743),ISNUMBER(Parametry!$G$6)),IF(AND(YEAR(D743)=Parametry!$G$6,M743&lt;=Parametry!$G$7),1,0),0)</f>
        <v>0</v>
      </c>
      <c r="O743" s="13">
        <f>IF(C743="",IF(COUNTA(D743:J743)&gt;0,1,0),IF(OR(COUNTIFS($C$9:$C$1008,C743)&lt;&gt;1,NOT(ISNUMBER(D743)),NOT(ISNUMBER(I743)),L743="",AND(F743&lt;&gt;"",COUNTIFS(Umowy!$C$9:$C$108,F743,Umowy!$D$9:$D$108,L743)&lt;&gt;1)),1,0))</f>
        <v>0</v>
      </c>
      <c r="P743" s="7" t="str">
        <f t="shared" si="34"/>
        <v/>
      </c>
      <c r="Q743" s="7" t="str">
        <f t="shared" si="35"/>
        <v/>
      </c>
    </row>
    <row r="744" spans="1:17" ht="24" customHeight="1">
      <c r="A744" s="7"/>
      <c r="B744" s="7"/>
      <c r="C744" s="3"/>
      <c r="D744" s="2"/>
      <c r="E744" s="3"/>
      <c r="F744" s="3"/>
      <c r="G744" s="3"/>
      <c r="H744" s="3"/>
      <c r="I744" s="6"/>
      <c r="J744" s="3"/>
      <c r="K744" s="7"/>
      <c r="L744" s="13" t="str">
        <f>IF(C744="","",IF(COUNTIFS(Parametry!$C$54:$C$113,E744)=1,INDEX(Parametry!$D$54:$D$113,MATCH(E744,Parametry!$C$54:$C$113,0)),""))</f>
        <v/>
      </c>
      <c r="M744" s="7">
        <f t="shared" si="33"/>
        <v>0</v>
      </c>
      <c r="N744" s="13">
        <f>IF(AND(ISNUMBER(D744),ISNUMBER(Parametry!$G$6)),IF(AND(YEAR(D744)=Parametry!$G$6,M744&lt;=Parametry!$G$7),1,0),0)</f>
        <v>0</v>
      </c>
      <c r="O744" s="13">
        <f>IF(C744="",IF(COUNTA(D744:J744)&gt;0,1,0),IF(OR(COUNTIFS($C$9:$C$1008,C744)&lt;&gt;1,NOT(ISNUMBER(D744)),NOT(ISNUMBER(I744)),L744="",AND(F744&lt;&gt;"",COUNTIFS(Umowy!$C$9:$C$108,F744,Umowy!$D$9:$D$108,L744)&lt;&gt;1)),1,0))</f>
        <v>0</v>
      </c>
      <c r="P744" s="7" t="str">
        <f t="shared" si="34"/>
        <v/>
      </c>
      <c r="Q744" s="7" t="str">
        <f t="shared" si="35"/>
        <v/>
      </c>
    </row>
    <row r="745" spans="1:17" ht="24" customHeight="1">
      <c r="A745" s="7"/>
      <c r="B745" s="7"/>
      <c r="C745" s="3"/>
      <c r="D745" s="2"/>
      <c r="E745" s="3"/>
      <c r="F745" s="3"/>
      <c r="G745" s="3"/>
      <c r="H745" s="3"/>
      <c r="I745" s="6"/>
      <c r="J745" s="3"/>
      <c r="K745" s="7"/>
      <c r="L745" s="13" t="str">
        <f>IF(C745="","",IF(COUNTIFS(Parametry!$C$54:$C$113,E745)=1,INDEX(Parametry!$D$54:$D$113,MATCH(E745,Parametry!$C$54:$C$113,0)),""))</f>
        <v/>
      </c>
      <c r="M745" s="7">
        <f t="shared" si="33"/>
        <v>0</v>
      </c>
      <c r="N745" s="13">
        <f>IF(AND(ISNUMBER(D745),ISNUMBER(Parametry!$G$6)),IF(AND(YEAR(D745)=Parametry!$G$6,M745&lt;=Parametry!$G$7),1,0),0)</f>
        <v>0</v>
      </c>
      <c r="O745" s="13">
        <f>IF(C745="",IF(COUNTA(D745:J745)&gt;0,1,0),IF(OR(COUNTIFS($C$9:$C$1008,C745)&lt;&gt;1,NOT(ISNUMBER(D745)),NOT(ISNUMBER(I745)),L745="",AND(F745&lt;&gt;"",COUNTIFS(Umowy!$C$9:$C$108,F745,Umowy!$D$9:$D$108,L745)&lt;&gt;1)),1,0))</f>
        <v>0</v>
      </c>
      <c r="P745" s="7" t="str">
        <f t="shared" si="34"/>
        <v/>
      </c>
      <c r="Q745" s="7" t="str">
        <f t="shared" si="35"/>
        <v/>
      </c>
    </row>
    <row r="746" spans="1:17" ht="24" customHeight="1">
      <c r="A746" s="7"/>
      <c r="B746" s="7"/>
      <c r="C746" s="3"/>
      <c r="D746" s="2"/>
      <c r="E746" s="3"/>
      <c r="F746" s="3"/>
      <c r="G746" s="3"/>
      <c r="H746" s="3"/>
      <c r="I746" s="6"/>
      <c r="J746" s="3"/>
      <c r="K746" s="7"/>
      <c r="L746" s="13" t="str">
        <f>IF(C746="","",IF(COUNTIFS(Parametry!$C$54:$C$113,E746)=1,INDEX(Parametry!$D$54:$D$113,MATCH(E746,Parametry!$C$54:$C$113,0)),""))</f>
        <v/>
      </c>
      <c r="M746" s="7">
        <f t="shared" si="33"/>
        <v>0</v>
      </c>
      <c r="N746" s="13">
        <f>IF(AND(ISNUMBER(D746),ISNUMBER(Parametry!$G$6)),IF(AND(YEAR(D746)=Parametry!$G$6,M746&lt;=Parametry!$G$7),1,0),0)</f>
        <v>0</v>
      </c>
      <c r="O746" s="13">
        <f>IF(C746="",IF(COUNTA(D746:J746)&gt;0,1,0),IF(OR(COUNTIFS($C$9:$C$1008,C746)&lt;&gt;1,NOT(ISNUMBER(D746)),NOT(ISNUMBER(I746)),L746="",AND(F746&lt;&gt;"",COUNTIFS(Umowy!$C$9:$C$108,F746,Umowy!$D$9:$D$108,L746)&lt;&gt;1)),1,0))</f>
        <v>0</v>
      </c>
      <c r="P746" s="7" t="str">
        <f t="shared" si="34"/>
        <v/>
      </c>
      <c r="Q746" s="7" t="str">
        <f t="shared" si="35"/>
        <v/>
      </c>
    </row>
    <row r="747" spans="1:17" ht="24" customHeight="1">
      <c r="A747" s="7"/>
      <c r="B747" s="7"/>
      <c r="C747" s="3"/>
      <c r="D747" s="2"/>
      <c r="E747" s="3"/>
      <c r="F747" s="3"/>
      <c r="G747" s="3"/>
      <c r="H747" s="3"/>
      <c r="I747" s="6"/>
      <c r="J747" s="3"/>
      <c r="K747" s="7"/>
      <c r="L747" s="13" t="str">
        <f>IF(C747="","",IF(COUNTIFS(Parametry!$C$54:$C$113,E747)=1,INDEX(Parametry!$D$54:$D$113,MATCH(E747,Parametry!$C$54:$C$113,0)),""))</f>
        <v/>
      </c>
      <c r="M747" s="7">
        <f t="shared" si="33"/>
        <v>0</v>
      </c>
      <c r="N747" s="13">
        <f>IF(AND(ISNUMBER(D747),ISNUMBER(Parametry!$G$6)),IF(AND(YEAR(D747)=Parametry!$G$6,M747&lt;=Parametry!$G$7),1,0),0)</f>
        <v>0</v>
      </c>
      <c r="O747" s="13">
        <f>IF(C747="",IF(COUNTA(D747:J747)&gt;0,1,0),IF(OR(COUNTIFS($C$9:$C$1008,C747)&lt;&gt;1,NOT(ISNUMBER(D747)),NOT(ISNUMBER(I747)),L747="",AND(F747&lt;&gt;"",COUNTIFS(Umowy!$C$9:$C$108,F747,Umowy!$D$9:$D$108,L747)&lt;&gt;1)),1,0))</f>
        <v>0</v>
      </c>
      <c r="P747" s="7" t="str">
        <f t="shared" si="34"/>
        <v/>
      </c>
      <c r="Q747" s="7" t="str">
        <f t="shared" si="35"/>
        <v/>
      </c>
    </row>
    <row r="748" spans="1:17" ht="24" customHeight="1">
      <c r="A748" s="7"/>
      <c r="B748" s="7"/>
      <c r="C748" s="3"/>
      <c r="D748" s="2"/>
      <c r="E748" s="3"/>
      <c r="F748" s="3"/>
      <c r="G748" s="3"/>
      <c r="H748" s="3"/>
      <c r="I748" s="6"/>
      <c r="J748" s="3"/>
      <c r="K748" s="7"/>
      <c r="L748" s="13" t="str">
        <f>IF(C748="","",IF(COUNTIFS(Parametry!$C$54:$C$113,E748)=1,INDEX(Parametry!$D$54:$D$113,MATCH(E748,Parametry!$C$54:$C$113,0)),""))</f>
        <v/>
      </c>
      <c r="M748" s="7">
        <f t="shared" si="33"/>
        <v>0</v>
      </c>
      <c r="N748" s="13">
        <f>IF(AND(ISNUMBER(D748),ISNUMBER(Parametry!$G$6)),IF(AND(YEAR(D748)=Parametry!$G$6,M748&lt;=Parametry!$G$7),1,0),0)</f>
        <v>0</v>
      </c>
      <c r="O748" s="13">
        <f>IF(C748="",IF(COUNTA(D748:J748)&gt;0,1,0),IF(OR(COUNTIFS($C$9:$C$1008,C748)&lt;&gt;1,NOT(ISNUMBER(D748)),NOT(ISNUMBER(I748)),L748="",AND(F748&lt;&gt;"",COUNTIFS(Umowy!$C$9:$C$108,F748,Umowy!$D$9:$D$108,L748)&lt;&gt;1)),1,0))</f>
        <v>0</v>
      </c>
      <c r="P748" s="7" t="str">
        <f t="shared" si="34"/>
        <v/>
      </c>
      <c r="Q748" s="7" t="str">
        <f t="shared" si="35"/>
        <v/>
      </c>
    </row>
    <row r="749" spans="1:17" ht="24" customHeight="1">
      <c r="A749" s="7"/>
      <c r="B749" s="7"/>
      <c r="C749" s="3"/>
      <c r="D749" s="2"/>
      <c r="E749" s="3"/>
      <c r="F749" s="3"/>
      <c r="G749" s="3"/>
      <c r="H749" s="3"/>
      <c r="I749" s="6"/>
      <c r="J749" s="3"/>
      <c r="K749" s="7"/>
      <c r="L749" s="13" t="str">
        <f>IF(C749="","",IF(COUNTIFS(Parametry!$C$54:$C$113,E749)=1,INDEX(Parametry!$D$54:$D$113,MATCH(E749,Parametry!$C$54:$C$113,0)),""))</f>
        <v/>
      </c>
      <c r="M749" s="7">
        <f t="shared" si="33"/>
        <v>0</v>
      </c>
      <c r="N749" s="13">
        <f>IF(AND(ISNUMBER(D749),ISNUMBER(Parametry!$G$6)),IF(AND(YEAR(D749)=Parametry!$G$6,M749&lt;=Parametry!$G$7),1,0),0)</f>
        <v>0</v>
      </c>
      <c r="O749" s="13">
        <f>IF(C749="",IF(COUNTA(D749:J749)&gt;0,1,0),IF(OR(COUNTIFS($C$9:$C$1008,C749)&lt;&gt;1,NOT(ISNUMBER(D749)),NOT(ISNUMBER(I749)),L749="",AND(F749&lt;&gt;"",COUNTIFS(Umowy!$C$9:$C$108,F749,Umowy!$D$9:$D$108,L749)&lt;&gt;1)),1,0))</f>
        <v>0</v>
      </c>
      <c r="P749" s="7" t="str">
        <f t="shared" si="34"/>
        <v/>
      </c>
      <c r="Q749" s="7" t="str">
        <f t="shared" si="35"/>
        <v/>
      </c>
    </row>
    <row r="750" spans="1:17" ht="24" customHeight="1">
      <c r="A750" s="7"/>
      <c r="B750" s="7"/>
      <c r="C750" s="3"/>
      <c r="D750" s="2"/>
      <c r="E750" s="3"/>
      <c r="F750" s="3"/>
      <c r="G750" s="3"/>
      <c r="H750" s="3"/>
      <c r="I750" s="6"/>
      <c r="J750" s="3"/>
      <c r="K750" s="7"/>
      <c r="L750" s="13" t="str">
        <f>IF(C750="","",IF(COUNTIFS(Parametry!$C$54:$C$113,E750)=1,INDEX(Parametry!$D$54:$D$113,MATCH(E750,Parametry!$C$54:$C$113,0)),""))</f>
        <v/>
      </c>
      <c r="M750" s="7">
        <f t="shared" si="33"/>
        <v>0</v>
      </c>
      <c r="N750" s="13">
        <f>IF(AND(ISNUMBER(D750),ISNUMBER(Parametry!$G$6)),IF(AND(YEAR(D750)=Parametry!$G$6,M750&lt;=Parametry!$G$7),1,0),0)</f>
        <v>0</v>
      </c>
      <c r="O750" s="13">
        <f>IF(C750="",IF(COUNTA(D750:J750)&gt;0,1,0),IF(OR(COUNTIFS($C$9:$C$1008,C750)&lt;&gt;1,NOT(ISNUMBER(D750)),NOT(ISNUMBER(I750)),L750="",AND(F750&lt;&gt;"",COUNTIFS(Umowy!$C$9:$C$108,F750,Umowy!$D$9:$D$108,L750)&lt;&gt;1)),1,0))</f>
        <v>0</v>
      </c>
      <c r="P750" s="7" t="str">
        <f t="shared" si="34"/>
        <v/>
      </c>
      <c r="Q750" s="7" t="str">
        <f t="shared" si="35"/>
        <v/>
      </c>
    </row>
    <row r="751" spans="1:17" ht="24" customHeight="1">
      <c r="A751" s="7"/>
      <c r="B751" s="7"/>
      <c r="C751" s="3"/>
      <c r="D751" s="2"/>
      <c r="E751" s="3"/>
      <c r="F751" s="3"/>
      <c r="G751" s="3"/>
      <c r="H751" s="3"/>
      <c r="I751" s="6"/>
      <c r="J751" s="3"/>
      <c r="K751" s="7"/>
      <c r="L751" s="13" t="str">
        <f>IF(C751="","",IF(COUNTIFS(Parametry!$C$54:$C$113,E751)=1,INDEX(Parametry!$D$54:$D$113,MATCH(E751,Parametry!$C$54:$C$113,0)),""))</f>
        <v/>
      </c>
      <c r="M751" s="7">
        <f t="shared" si="33"/>
        <v>0</v>
      </c>
      <c r="N751" s="13">
        <f>IF(AND(ISNUMBER(D751),ISNUMBER(Parametry!$G$6)),IF(AND(YEAR(D751)=Parametry!$G$6,M751&lt;=Parametry!$G$7),1,0),0)</f>
        <v>0</v>
      </c>
      <c r="O751" s="13">
        <f>IF(C751="",IF(COUNTA(D751:J751)&gt;0,1,0),IF(OR(COUNTIFS($C$9:$C$1008,C751)&lt;&gt;1,NOT(ISNUMBER(D751)),NOT(ISNUMBER(I751)),L751="",AND(F751&lt;&gt;"",COUNTIFS(Umowy!$C$9:$C$108,F751,Umowy!$D$9:$D$108,L751)&lt;&gt;1)),1,0))</f>
        <v>0</v>
      </c>
      <c r="P751" s="7" t="str">
        <f t="shared" si="34"/>
        <v/>
      </c>
      <c r="Q751" s="7" t="str">
        <f t="shared" si="35"/>
        <v/>
      </c>
    </row>
    <row r="752" spans="1:17" ht="24" customHeight="1">
      <c r="A752" s="7"/>
      <c r="B752" s="7"/>
      <c r="C752" s="3"/>
      <c r="D752" s="2"/>
      <c r="E752" s="3"/>
      <c r="F752" s="3"/>
      <c r="G752" s="3"/>
      <c r="H752" s="3"/>
      <c r="I752" s="6"/>
      <c r="J752" s="3"/>
      <c r="K752" s="7"/>
      <c r="L752" s="13" t="str">
        <f>IF(C752="","",IF(COUNTIFS(Parametry!$C$54:$C$113,E752)=1,INDEX(Parametry!$D$54:$D$113,MATCH(E752,Parametry!$C$54:$C$113,0)),""))</f>
        <v/>
      </c>
      <c r="M752" s="7">
        <f t="shared" si="33"/>
        <v>0</v>
      </c>
      <c r="N752" s="13">
        <f>IF(AND(ISNUMBER(D752),ISNUMBER(Parametry!$G$6)),IF(AND(YEAR(D752)=Parametry!$G$6,M752&lt;=Parametry!$G$7),1,0),0)</f>
        <v>0</v>
      </c>
      <c r="O752" s="13">
        <f>IF(C752="",IF(COUNTA(D752:J752)&gt;0,1,0),IF(OR(COUNTIFS($C$9:$C$1008,C752)&lt;&gt;1,NOT(ISNUMBER(D752)),NOT(ISNUMBER(I752)),L752="",AND(F752&lt;&gt;"",COUNTIFS(Umowy!$C$9:$C$108,F752,Umowy!$D$9:$D$108,L752)&lt;&gt;1)),1,0))</f>
        <v>0</v>
      </c>
      <c r="P752" s="7" t="str">
        <f t="shared" si="34"/>
        <v/>
      </c>
      <c r="Q752" s="7" t="str">
        <f t="shared" si="35"/>
        <v/>
      </c>
    </row>
    <row r="753" spans="1:17" ht="24" customHeight="1">
      <c r="A753" s="7"/>
      <c r="B753" s="7"/>
      <c r="C753" s="3"/>
      <c r="D753" s="2"/>
      <c r="E753" s="3"/>
      <c r="F753" s="3"/>
      <c r="G753" s="3"/>
      <c r="H753" s="3"/>
      <c r="I753" s="6"/>
      <c r="J753" s="3"/>
      <c r="K753" s="7"/>
      <c r="L753" s="13" t="str">
        <f>IF(C753="","",IF(COUNTIFS(Parametry!$C$54:$C$113,E753)=1,INDEX(Parametry!$D$54:$D$113,MATCH(E753,Parametry!$C$54:$C$113,0)),""))</f>
        <v/>
      </c>
      <c r="M753" s="7">
        <f t="shared" si="33"/>
        <v>0</v>
      </c>
      <c r="N753" s="13">
        <f>IF(AND(ISNUMBER(D753),ISNUMBER(Parametry!$G$6)),IF(AND(YEAR(D753)=Parametry!$G$6,M753&lt;=Parametry!$G$7),1,0),0)</f>
        <v>0</v>
      </c>
      <c r="O753" s="13">
        <f>IF(C753="",IF(COUNTA(D753:J753)&gt;0,1,0),IF(OR(COUNTIFS($C$9:$C$1008,C753)&lt;&gt;1,NOT(ISNUMBER(D753)),NOT(ISNUMBER(I753)),L753="",AND(F753&lt;&gt;"",COUNTIFS(Umowy!$C$9:$C$108,F753,Umowy!$D$9:$D$108,L753)&lt;&gt;1)),1,0))</f>
        <v>0</v>
      </c>
      <c r="P753" s="7" t="str">
        <f t="shared" si="34"/>
        <v/>
      </c>
      <c r="Q753" s="7" t="str">
        <f t="shared" si="35"/>
        <v/>
      </c>
    </row>
    <row r="754" spans="1:17" ht="24" customHeight="1">
      <c r="A754" s="7"/>
      <c r="B754" s="7"/>
      <c r="C754" s="3"/>
      <c r="D754" s="2"/>
      <c r="E754" s="3"/>
      <c r="F754" s="3"/>
      <c r="G754" s="3"/>
      <c r="H754" s="3"/>
      <c r="I754" s="6"/>
      <c r="J754" s="3"/>
      <c r="K754" s="7"/>
      <c r="L754" s="13" t="str">
        <f>IF(C754="","",IF(COUNTIFS(Parametry!$C$54:$C$113,E754)=1,INDEX(Parametry!$D$54:$D$113,MATCH(E754,Parametry!$C$54:$C$113,0)),""))</f>
        <v/>
      </c>
      <c r="M754" s="7">
        <f t="shared" si="33"/>
        <v>0</v>
      </c>
      <c r="N754" s="13">
        <f>IF(AND(ISNUMBER(D754),ISNUMBER(Parametry!$G$6)),IF(AND(YEAR(D754)=Parametry!$G$6,M754&lt;=Parametry!$G$7),1,0),0)</f>
        <v>0</v>
      </c>
      <c r="O754" s="13">
        <f>IF(C754="",IF(COUNTA(D754:J754)&gt;0,1,0),IF(OR(COUNTIFS($C$9:$C$1008,C754)&lt;&gt;1,NOT(ISNUMBER(D754)),NOT(ISNUMBER(I754)),L754="",AND(F754&lt;&gt;"",COUNTIFS(Umowy!$C$9:$C$108,F754,Umowy!$D$9:$D$108,L754)&lt;&gt;1)),1,0))</f>
        <v>0</v>
      </c>
      <c r="P754" s="7" t="str">
        <f t="shared" si="34"/>
        <v/>
      </c>
      <c r="Q754" s="7" t="str">
        <f t="shared" si="35"/>
        <v/>
      </c>
    </row>
    <row r="755" spans="1:17" ht="24" customHeight="1">
      <c r="A755" s="7"/>
      <c r="B755" s="7"/>
      <c r="C755" s="3"/>
      <c r="D755" s="2"/>
      <c r="E755" s="3"/>
      <c r="F755" s="3"/>
      <c r="G755" s="3"/>
      <c r="H755" s="3"/>
      <c r="I755" s="6"/>
      <c r="J755" s="3"/>
      <c r="K755" s="7"/>
      <c r="L755" s="13" t="str">
        <f>IF(C755="","",IF(COUNTIFS(Parametry!$C$54:$C$113,E755)=1,INDEX(Parametry!$D$54:$D$113,MATCH(E755,Parametry!$C$54:$C$113,0)),""))</f>
        <v/>
      </c>
      <c r="M755" s="7">
        <f t="shared" si="33"/>
        <v>0</v>
      </c>
      <c r="N755" s="13">
        <f>IF(AND(ISNUMBER(D755),ISNUMBER(Parametry!$G$6)),IF(AND(YEAR(D755)=Parametry!$G$6,M755&lt;=Parametry!$G$7),1,0),0)</f>
        <v>0</v>
      </c>
      <c r="O755" s="13">
        <f>IF(C755="",IF(COUNTA(D755:J755)&gt;0,1,0),IF(OR(COUNTIFS($C$9:$C$1008,C755)&lt;&gt;1,NOT(ISNUMBER(D755)),NOT(ISNUMBER(I755)),L755="",AND(F755&lt;&gt;"",COUNTIFS(Umowy!$C$9:$C$108,F755,Umowy!$D$9:$D$108,L755)&lt;&gt;1)),1,0))</f>
        <v>0</v>
      </c>
      <c r="P755" s="7" t="str">
        <f t="shared" si="34"/>
        <v/>
      </c>
      <c r="Q755" s="7" t="str">
        <f t="shared" si="35"/>
        <v/>
      </c>
    </row>
    <row r="756" spans="1:17" ht="24" customHeight="1">
      <c r="A756" s="7"/>
      <c r="B756" s="7"/>
      <c r="C756" s="3"/>
      <c r="D756" s="2"/>
      <c r="E756" s="3"/>
      <c r="F756" s="3"/>
      <c r="G756" s="3"/>
      <c r="H756" s="3"/>
      <c r="I756" s="6"/>
      <c r="J756" s="3"/>
      <c r="K756" s="7"/>
      <c r="L756" s="13" t="str">
        <f>IF(C756="","",IF(COUNTIFS(Parametry!$C$54:$C$113,E756)=1,INDEX(Parametry!$D$54:$D$113,MATCH(E756,Parametry!$C$54:$C$113,0)),""))</f>
        <v/>
      </c>
      <c r="M756" s="7">
        <f t="shared" si="33"/>
        <v>0</v>
      </c>
      <c r="N756" s="13">
        <f>IF(AND(ISNUMBER(D756),ISNUMBER(Parametry!$G$6)),IF(AND(YEAR(D756)=Parametry!$G$6,M756&lt;=Parametry!$G$7),1,0),0)</f>
        <v>0</v>
      </c>
      <c r="O756" s="13">
        <f>IF(C756="",IF(COUNTA(D756:J756)&gt;0,1,0),IF(OR(COUNTIFS($C$9:$C$1008,C756)&lt;&gt;1,NOT(ISNUMBER(D756)),NOT(ISNUMBER(I756)),L756="",AND(F756&lt;&gt;"",COUNTIFS(Umowy!$C$9:$C$108,F756,Umowy!$D$9:$D$108,L756)&lt;&gt;1)),1,0))</f>
        <v>0</v>
      </c>
      <c r="P756" s="7" t="str">
        <f t="shared" si="34"/>
        <v/>
      </c>
      <c r="Q756" s="7" t="str">
        <f t="shared" si="35"/>
        <v/>
      </c>
    </row>
    <row r="757" spans="1:17" ht="24" customHeight="1">
      <c r="A757" s="7"/>
      <c r="B757" s="7"/>
      <c r="C757" s="3"/>
      <c r="D757" s="2"/>
      <c r="E757" s="3"/>
      <c r="F757" s="3"/>
      <c r="G757" s="3"/>
      <c r="H757" s="3"/>
      <c r="I757" s="6"/>
      <c r="J757" s="3"/>
      <c r="K757" s="7"/>
      <c r="L757" s="13" t="str">
        <f>IF(C757="","",IF(COUNTIFS(Parametry!$C$54:$C$113,E757)=1,INDEX(Parametry!$D$54:$D$113,MATCH(E757,Parametry!$C$54:$C$113,0)),""))</f>
        <v/>
      </c>
      <c r="M757" s="7">
        <f t="shared" si="33"/>
        <v>0</v>
      </c>
      <c r="N757" s="13">
        <f>IF(AND(ISNUMBER(D757),ISNUMBER(Parametry!$G$6)),IF(AND(YEAR(D757)=Parametry!$G$6,M757&lt;=Parametry!$G$7),1,0),0)</f>
        <v>0</v>
      </c>
      <c r="O757" s="13">
        <f>IF(C757="",IF(COUNTA(D757:J757)&gt;0,1,0),IF(OR(COUNTIFS($C$9:$C$1008,C757)&lt;&gt;1,NOT(ISNUMBER(D757)),NOT(ISNUMBER(I757)),L757="",AND(F757&lt;&gt;"",COUNTIFS(Umowy!$C$9:$C$108,F757,Umowy!$D$9:$D$108,L757)&lt;&gt;1)),1,0))</f>
        <v>0</v>
      </c>
      <c r="P757" s="7" t="str">
        <f t="shared" si="34"/>
        <v/>
      </c>
      <c r="Q757" s="7" t="str">
        <f t="shared" si="35"/>
        <v/>
      </c>
    </row>
    <row r="758" spans="1:17" ht="24" customHeight="1">
      <c r="A758" s="7"/>
      <c r="B758" s="7"/>
      <c r="C758" s="3"/>
      <c r="D758" s="2"/>
      <c r="E758" s="3"/>
      <c r="F758" s="3"/>
      <c r="G758" s="3"/>
      <c r="H758" s="3"/>
      <c r="I758" s="6"/>
      <c r="J758" s="3"/>
      <c r="K758" s="7"/>
      <c r="L758" s="13" t="str">
        <f>IF(C758="","",IF(COUNTIFS(Parametry!$C$54:$C$113,E758)=1,INDEX(Parametry!$D$54:$D$113,MATCH(E758,Parametry!$C$54:$C$113,0)),""))</f>
        <v/>
      </c>
      <c r="M758" s="7">
        <f t="shared" si="33"/>
        <v>0</v>
      </c>
      <c r="N758" s="13">
        <f>IF(AND(ISNUMBER(D758),ISNUMBER(Parametry!$G$6)),IF(AND(YEAR(D758)=Parametry!$G$6,M758&lt;=Parametry!$G$7),1,0),0)</f>
        <v>0</v>
      </c>
      <c r="O758" s="13">
        <f>IF(C758="",IF(COUNTA(D758:J758)&gt;0,1,0),IF(OR(COUNTIFS($C$9:$C$1008,C758)&lt;&gt;1,NOT(ISNUMBER(D758)),NOT(ISNUMBER(I758)),L758="",AND(F758&lt;&gt;"",COUNTIFS(Umowy!$C$9:$C$108,F758,Umowy!$D$9:$D$108,L758)&lt;&gt;1)),1,0))</f>
        <v>0</v>
      </c>
      <c r="P758" s="7" t="str">
        <f t="shared" si="34"/>
        <v/>
      </c>
      <c r="Q758" s="7" t="str">
        <f t="shared" si="35"/>
        <v/>
      </c>
    </row>
    <row r="759" spans="1:17" ht="24" customHeight="1">
      <c r="A759" s="7"/>
      <c r="B759" s="7"/>
      <c r="C759" s="3"/>
      <c r="D759" s="2"/>
      <c r="E759" s="3"/>
      <c r="F759" s="3"/>
      <c r="G759" s="3"/>
      <c r="H759" s="3"/>
      <c r="I759" s="6"/>
      <c r="J759" s="3"/>
      <c r="K759" s="7"/>
      <c r="L759" s="13" t="str">
        <f>IF(C759="","",IF(COUNTIFS(Parametry!$C$54:$C$113,E759)=1,INDEX(Parametry!$D$54:$D$113,MATCH(E759,Parametry!$C$54:$C$113,0)),""))</f>
        <v/>
      </c>
      <c r="M759" s="7">
        <f t="shared" si="33"/>
        <v>0</v>
      </c>
      <c r="N759" s="13">
        <f>IF(AND(ISNUMBER(D759),ISNUMBER(Parametry!$G$6)),IF(AND(YEAR(D759)=Parametry!$G$6,M759&lt;=Parametry!$G$7),1,0),0)</f>
        <v>0</v>
      </c>
      <c r="O759" s="13">
        <f>IF(C759="",IF(COUNTA(D759:J759)&gt;0,1,0),IF(OR(COUNTIFS($C$9:$C$1008,C759)&lt;&gt;1,NOT(ISNUMBER(D759)),NOT(ISNUMBER(I759)),L759="",AND(F759&lt;&gt;"",COUNTIFS(Umowy!$C$9:$C$108,F759,Umowy!$D$9:$D$108,L759)&lt;&gt;1)),1,0))</f>
        <v>0</v>
      </c>
      <c r="P759" s="7" t="str">
        <f t="shared" si="34"/>
        <v/>
      </c>
      <c r="Q759" s="7" t="str">
        <f t="shared" si="35"/>
        <v/>
      </c>
    </row>
    <row r="760" spans="1:17" ht="24" customHeight="1">
      <c r="A760" s="7"/>
      <c r="B760" s="7"/>
      <c r="C760" s="3"/>
      <c r="D760" s="2"/>
      <c r="E760" s="3"/>
      <c r="F760" s="3"/>
      <c r="G760" s="3"/>
      <c r="H760" s="3"/>
      <c r="I760" s="6"/>
      <c r="J760" s="3"/>
      <c r="K760" s="7"/>
      <c r="L760" s="13" t="str">
        <f>IF(C760="","",IF(COUNTIFS(Parametry!$C$54:$C$113,E760)=1,INDEX(Parametry!$D$54:$D$113,MATCH(E760,Parametry!$C$54:$C$113,0)),""))</f>
        <v/>
      </c>
      <c r="M760" s="7">
        <f t="shared" si="33"/>
        <v>0</v>
      </c>
      <c r="N760" s="13">
        <f>IF(AND(ISNUMBER(D760),ISNUMBER(Parametry!$G$6)),IF(AND(YEAR(D760)=Parametry!$G$6,M760&lt;=Parametry!$G$7),1,0),0)</f>
        <v>0</v>
      </c>
      <c r="O760" s="13">
        <f>IF(C760="",IF(COUNTA(D760:J760)&gt;0,1,0),IF(OR(COUNTIFS($C$9:$C$1008,C760)&lt;&gt;1,NOT(ISNUMBER(D760)),NOT(ISNUMBER(I760)),L760="",AND(F760&lt;&gt;"",COUNTIFS(Umowy!$C$9:$C$108,F760,Umowy!$D$9:$D$108,L760)&lt;&gt;1)),1,0))</f>
        <v>0</v>
      </c>
      <c r="P760" s="7" t="str">
        <f t="shared" si="34"/>
        <v/>
      </c>
      <c r="Q760" s="7" t="str">
        <f t="shared" si="35"/>
        <v/>
      </c>
    </row>
    <row r="761" spans="1:17" ht="24" customHeight="1">
      <c r="A761" s="7"/>
      <c r="B761" s="7"/>
      <c r="C761" s="3"/>
      <c r="D761" s="2"/>
      <c r="E761" s="3"/>
      <c r="F761" s="3"/>
      <c r="G761" s="3"/>
      <c r="H761" s="3"/>
      <c r="I761" s="6"/>
      <c r="J761" s="3"/>
      <c r="K761" s="7"/>
      <c r="L761" s="13" t="str">
        <f>IF(C761="","",IF(COUNTIFS(Parametry!$C$54:$C$113,E761)=1,INDEX(Parametry!$D$54:$D$113,MATCH(E761,Parametry!$C$54:$C$113,0)),""))</f>
        <v/>
      </c>
      <c r="M761" s="7">
        <f t="shared" si="33"/>
        <v>0</v>
      </c>
      <c r="N761" s="13">
        <f>IF(AND(ISNUMBER(D761),ISNUMBER(Parametry!$G$6)),IF(AND(YEAR(D761)=Parametry!$G$6,M761&lt;=Parametry!$G$7),1,0),0)</f>
        <v>0</v>
      </c>
      <c r="O761" s="13">
        <f>IF(C761="",IF(COUNTA(D761:J761)&gt;0,1,0),IF(OR(COUNTIFS($C$9:$C$1008,C761)&lt;&gt;1,NOT(ISNUMBER(D761)),NOT(ISNUMBER(I761)),L761="",AND(F761&lt;&gt;"",COUNTIFS(Umowy!$C$9:$C$108,F761,Umowy!$D$9:$D$108,L761)&lt;&gt;1)),1,0))</f>
        <v>0</v>
      </c>
      <c r="P761" s="7" t="str">
        <f t="shared" si="34"/>
        <v/>
      </c>
      <c r="Q761" s="7" t="str">
        <f t="shared" si="35"/>
        <v/>
      </c>
    </row>
    <row r="762" spans="1:17" ht="24" customHeight="1">
      <c r="A762" s="7"/>
      <c r="B762" s="7"/>
      <c r="C762" s="3"/>
      <c r="D762" s="2"/>
      <c r="E762" s="3"/>
      <c r="F762" s="3"/>
      <c r="G762" s="3"/>
      <c r="H762" s="3"/>
      <c r="I762" s="6"/>
      <c r="J762" s="3"/>
      <c r="K762" s="7"/>
      <c r="L762" s="13" t="str">
        <f>IF(C762="","",IF(COUNTIFS(Parametry!$C$54:$C$113,E762)=1,INDEX(Parametry!$D$54:$D$113,MATCH(E762,Parametry!$C$54:$C$113,0)),""))</f>
        <v/>
      </c>
      <c r="M762" s="7">
        <f t="shared" si="33"/>
        <v>0</v>
      </c>
      <c r="N762" s="13">
        <f>IF(AND(ISNUMBER(D762),ISNUMBER(Parametry!$G$6)),IF(AND(YEAR(D762)=Parametry!$G$6,M762&lt;=Parametry!$G$7),1,0),0)</f>
        <v>0</v>
      </c>
      <c r="O762" s="13">
        <f>IF(C762="",IF(COUNTA(D762:J762)&gt;0,1,0),IF(OR(COUNTIFS($C$9:$C$1008,C762)&lt;&gt;1,NOT(ISNUMBER(D762)),NOT(ISNUMBER(I762)),L762="",AND(F762&lt;&gt;"",COUNTIFS(Umowy!$C$9:$C$108,F762,Umowy!$D$9:$D$108,L762)&lt;&gt;1)),1,0))</f>
        <v>0</v>
      </c>
      <c r="P762" s="7" t="str">
        <f t="shared" si="34"/>
        <v/>
      </c>
      <c r="Q762" s="7" t="str">
        <f t="shared" si="35"/>
        <v/>
      </c>
    </row>
    <row r="763" spans="1:17" ht="24" customHeight="1">
      <c r="A763" s="7"/>
      <c r="B763" s="7"/>
      <c r="C763" s="3"/>
      <c r="D763" s="2"/>
      <c r="E763" s="3"/>
      <c r="F763" s="3"/>
      <c r="G763" s="3"/>
      <c r="H763" s="3"/>
      <c r="I763" s="6"/>
      <c r="J763" s="3"/>
      <c r="K763" s="7"/>
      <c r="L763" s="13" t="str">
        <f>IF(C763="","",IF(COUNTIFS(Parametry!$C$54:$C$113,E763)=1,INDEX(Parametry!$D$54:$D$113,MATCH(E763,Parametry!$C$54:$C$113,0)),""))</f>
        <v/>
      </c>
      <c r="M763" s="7">
        <f t="shared" si="33"/>
        <v>0</v>
      </c>
      <c r="N763" s="13">
        <f>IF(AND(ISNUMBER(D763),ISNUMBER(Parametry!$G$6)),IF(AND(YEAR(D763)=Parametry!$G$6,M763&lt;=Parametry!$G$7),1,0),0)</f>
        <v>0</v>
      </c>
      <c r="O763" s="13">
        <f>IF(C763="",IF(COUNTA(D763:J763)&gt;0,1,0),IF(OR(COUNTIFS($C$9:$C$1008,C763)&lt;&gt;1,NOT(ISNUMBER(D763)),NOT(ISNUMBER(I763)),L763="",AND(F763&lt;&gt;"",COUNTIFS(Umowy!$C$9:$C$108,F763,Umowy!$D$9:$D$108,L763)&lt;&gt;1)),1,0))</f>
        <v>0</v>
      </c>
      <c r="P763" s="7" t="str">
        <f t="shared" si="34"/>
        <v/>
      </c>
      <c r="Q763" s="7" t="str">
        <f t="shared" si="35"/>
        <v/>
      </c>
    </row>
    <row r="764" spans="1:17" ht="24" customHeight="1">
      <c r="A764" s="7"/>
      <c r="B764" s="7"/>
      <c r="C764" s="3"/>
      <c r="D764" s="2"/>
      <c r="E764" s="3"/>
      <c r="F764" s="3"/>
      <c r="G764" s="3"/>
      <c r="H764" s="3"/>
      <c r="I764" s="6"/>
      <c r="J764" s="3"/>
      <c r="K764" s="7"/>
      <c r="L764" s="13" t="str">
        <f>IF(C764="","",IF(COUNTIFS(Parametry!$C$54:$C$113,E764)=1,INDEX(Parametry!$D$54:$D$113,MATCH(E764,Parametry!$C$54:$C$113,0)),""))</f>
        <v/>
      </c>
      <c r="M764" s="7">
        <f t="shared" si="33"/>
        <v>0</v>
      </c>
      <c r="N764" s="13">
        <f>IF(AND(ISNUMBER(D764),ISNUMBER(Parametry!$G$6)),IF(AND(YEAR(D764)=Parametry!$G$6,M764&lt;=Parametry!$G$7),1,0),0)</f>
        <v>0</v>
      </c>
      <c r="O764" s="13">
        <f>IF(C764="",IF(COUNTA(D764:J764)&gt;0,1,0),IF(OR(COUNTIFS($C$9:$C$1008,C764)&lt;&gt;1,NOT(ISNUMBER(D764)),NOT(ISNUMBER(I764)),L764="",AND(F764&lt;&gt;"",COUNTIFS(Umowy!$C$9:$C$108,F764,Umowy!$D$9:$D$108,L764)&lt;&gt;1)),1,0))</f>
        <v>0</v>
      </c>
      <c r="P764" s="7" t="str">
        <f t="shared" si="34"/>
        <v/>
      </c>
      <c r="Q764" s="7" t="str">
        <f t="shared" si="35"/>
        <v/>
      </c>
    </row>
    <row r="765" spans="1:17" ht="24" customHeight="1">
      <c r="A765" s="7"/>
      <c r="B765" s="7"/>
      <c r="C765" s="3"/>
      <c r="D765" s="2"/>
      <c r="E765" s="3"/>
      <c r="F765" s="3"/>
      <c r="G765" s="3"/>
      <c r="H765" s="3"/>
      <c r="I765" s="6"/>
      <c r="J765" s="3"/>
      <c r="K765" s="7"/>
      <c r="L765" s="13" t="str">
        <f>IF(C765="","",IF(COUNTIFS(Parametry!$C$54:$C$113,E765)=1,INDEX(Parametry!$D$54:$D$113,MATCH(E765,Parametry!$C$54:$C$113,0)),""))</f>
        <v/>
      </c>
      <c r="M765" s="7">
        <f t="shared" si="33"/>
        <v>0</v>
      </c>
      <c r="N765" s="13">
        <f>IF(AND(ISNUMBER(D765),ISNUMBER(Parametry!$G$6)),IF(AND(YEAR(D765)=Parametry!$G$6,M765&lt;=Parametry!$G$7),1,0),0)</f>
        <v>0</v>
      </c>
      <c r="O765" s="13">
        <f>IF(C765="",IF(COUNTA(D765:J765)&gt;0,1,0),IF(OR(COUNTIFS($C$9:$C$1008,C765)&lt;&gt;1,NOT(ISNUMBER(D765)),NOT(ISNUMBER(I765)),L765="",AND(F765&lt;&gt;"",COUNTIFS(Umowy!$C$9:$C$108,F765,Umowy!$D$9:$D$108,L765)&lt;&gt;1)),1,0))</f>
        <v>0</v>
      </c>
      <c r="P765" s="7" t="str">
        <f t="shared" si="34"/>
        <v/>
      </c>
      <c r="Q765" s="7" t="str">
        <f t="shared" si="35"/>
        <v/>
      </c>
    </row>
    <row r="766" spans="1:17" ht="24" customHeight="1">
      <c r="A766" s="7"/>
      <c r="B766" s="7"/>
      <c r="C766" s="3"/>
      <c r="D766" s="2"/>
      <c r="E766" s="3"/>
      <c r="F766" s="3"/>
      <c r="G766" s="3"/>
      <c r="H766" s="3"/>
      <c r="I766" s="6"/>
      <c r="J766" s="3"/>
      <c r="K766" s="7"/>
      <c r="L766" s="13" t="str">
        <f>IF(C766="","",IF(COUNTIFS(Parametry!$C$54:$C$113,E766)=1,INDEX(Parametry!$D$54:$D$113,MATCH(E766,Parametry!$C$54:$C$113,0)),""))</f>
        <v/>
      </c>
      <c r="M766" s="7">
        <f t="shared" si="33"/>
        <v>0</v>
      </c>
      <c r="N766" s="13">
        <f>IF(AND(ISNUMBER(D766),ISNUMBER(Parametry!$G$6)),IF(AND(YEAR(D766)=Parametry!$G$6,M766&lt;=Parametry!$G$7),1,0),0)</f>
        <v>0</v>
      </c>
      <c r="O766" s="13">
        <f>IF(C766="",IF(COUNTA(D766:J766)&gt;0,1,0),IF(OR(COUNTIFS($C$9:$C$1008,C766)&lt;&gt;1,NOT(ISNUMBER(D766)),NOT(ISNUMBER(I766)),L766="",AND(F766&lt;&gt;"",COUNTIFS(Umowy!$C$9:$C$108,F766,Umowy!$D$9:$D$108,L766)&lt;&gt;1)),1,0))</f>
        <v>0</v>
      </c>
      <c r="P766" s="7" t="str">
        <f t="shared" si="34"/>
        <v/>
      </c>
      <c r="Q766" s="7" t="str">
        <f t="shared" si="35"/>
        <v/>
      </c>
    </row>
    <row r="767" spans="1:17" ht="24" customHeight="1">
      <c r="A767" s="7"/>
      <c r="B767" s="7"/>
      <c r="C767" s="3"/>
      <c r="D767" s="2"/>
      <c r="E767" s="3"/>
      <c r="F767" s="3"/>
      <c r="G767" s="3"/>
      <c r="H767" s="3"/>
      <c r="I767" s="6"/>
      <c r="J767" s="3"/>
      <c r="K767" s="7"/>
      <c r="L767" s="13" t="str">
        <f>IF(C767="","",IF(COUNTIFS(Parametry!$C$54:$C$113,E767)=1,INDEX(Parametry!$D$54:$D$113,MATCH(E767,Parametry!$C$54:$C$113,0)),""))</f>
        <v/>
      </c>
      <c r="M767" s="7">
        <f t="shared" si="33"/>
        <v>0</v>
      </c>
      <c r="N767" s="13">
        <f>IF(AND(ISNUMBER(D767),ISNUMBER(Parametry!$G$6)),IF(AND(YEAR(D767)=Parametry!$G$6,M767&lt;=Parametry!$G$7),1,0),0)</f>
        <v>0</v>
      </c>
      <c r="O767" s="13">
        <f>IF(C767="",IF(COUNTA(D767:J767)&gt;0,1,0),IF(OR(COUNTIFS($C$9:$C$1008,C767)&lt;&gt;1,NOT(ISNUMBER(D767)),NOT(ISNUMBER(I767)),L767="",AND(F767&lt;&gt;"",COUNTIFS(Umowy!$C$9:$C$108,F767,Umowy!$D$9:$D$108,L767)&lt;&gt;1)),1,0))</f>
        <v>0</v>
      </c>
      <c r="P767" s="7" t="str">
        <f t="shared" si="34"/>
        <v/>
      </c>
      <c r="Q767" s="7" t="str">
        <f t="shared" si="35"/>
        <v/>
      </c>
    </row>
    <row r="768" spans="1:17" ht="24" customHeight="1">
      <c r="A768" s="7"/>
      <c r="B768" s="7"/>
      <c r="C768" s="3"/>
      <c r="D768" s="2"/>
      <c r="E768" s="3"/>
      <c r="F768" s="3"/>
      <c r="G768" s="3"/>
      <c r="H768" s="3"/>
      <c r="I768" s="6"/>
      <c r="J768" s="3"/>
      <c r="K768" s="7"/>
      <c r="L768" s="13" t="str">
        <f>IF(C768="","",IF(COUNTIFS(Parametry!$C$54:$C$113,E768)=1,INDEX(Parametry!$D$54:$D$113,MATCH(E768,Parametry!$C$54:$C$113,0)),""))</f>
        <v/>
      </c>
      <c r="M768" s="7">
        <f t="shared" si="33"/>
        <v>0</v>
      </c>
      <c r="N768" s="13">
        <f>IF(AND(ISNUMBER(D768),ISNUMBER(Parametry!$G$6)),IF(AND(YEAR(D768)=Parametry!$G$6,M768&lt;=Parametry!$G$7),1,0),0)</f>
        <v>0</v>
      </c>
      <c r="O768" s="13">
        <f>IF(C768="",IF(COUNTA(D768:J768)&gt;0,1,0),IF(OR(COUNTIFS($C$9:$C$1008,C768)&lt;&gt;1,NOT(ISNUMBER(D768)),NOT(ISNUMBER(I768)),L768="",AND(F768&lt;&gt;"",COUNTIFS(Umowy!$C$9:$C$108,F768,Umowy!$D$9:$D$108,L768)&lt;&gt;1)),1,0))</f>
        <v>0</v>
      </c>
      <c r="P768" s="7" t="str">
        <f t="shared" si="34"/>
        <v/>
      </c>
      <c r="Q768" s="7" t="str">
        <f t="shared" si="35"/>
        <v/>
      </c>
    </row>
    <row r="769" spans="1:17" ht="24" customHeight="1">
      <c r="A769" s="7"/>
      <c r="B769" s="7"/>
      <c r="C769" s="3"/>
      <c r="D769" s="2"/>
      <c r="E769" s="3"/>
      <c r="F769" s="3"/>
      <c r="G769" s="3"/>
      <c r="H769" s="3"/>
      <c r="I769" s="6"/>
      <c r="J769" s="3"/>
      <c r="K769" s="7"/>
      <c r="L769" s="13" t="str">
        <f>IF(C769="","",IF(COUNTIFS(Parametry!$C$54:$C$113,E769)=1,INDEX(Parametry!$D$54:$D$113,MATCH(E769,Parametry!$C$54:$C$113,0)),""))</f>
        <v/>
      </c>
      <c r="M769" s="7">
        <f t="shared" si="33"/>
        <v>0</v>
      </c>
      <c r="N769" s="13">
        <f>IF(AND(ISNUMBER(D769),ISNUMBER(Parametry!$G$6)),IF(AND(YEAR(D769)=Parametry!$G$6,M769&lt;=Parametry!$G$7),1,0),0)</f>
        <v>0</v>
      </c>
      <c r="O769" s="13">
        <f>IF(C769="",IF(COUNTA(D769:J769)&gt;0,1,0),IF(OR(COUNTIFS($C$9:$C$1008,C769)&lt;&gt;1,NOT(ISNUMBER(D769)),NOT(ISNUMBER(I769)),L769="",AND(F769&lt;&gt;"",COUNTIFS(Umowy!$C$9:$C$108,F769,Umowy!$D$9:$D$108,L769)&lt;&gt;1)),1,0))</f>
        <v>0</v>
      </c>
      <c r="P769" s="7" t="str">
        <f t="shared" si="34"/>
        <v/>
      </c>
      <c r="Q769" s="7" t="str">
        <f t="shared" si="35"/>
        <v/>
      </c>
    </row>
    <row r="770" spans="1:17" ht="24" customHeight="1">
      <c r="A770" s="7"/>
      <c r="B770" s="7"/>
      <c r="C770" s="3"/>
      <c r="D770" s="2"/>
      <c r="E770" s="3"/>
      <c r="F770" s="3"/>
      <c r="G770" s="3"/>
      <c r="H770" s="3"/>
      <c r="I770" s="6"/>
      <c r="J770" s="3"/>
      <c r="K770" s="7"/>
      <c r="L770" s="13" t="str">
        <f>IF(C770="","",IF(COUNTIFS(Parametry!$C$54:$C$113,E770)=1,INDEX(Parametry!$D$54:$D$113,MATCH(E770,Parametry!$C$54:$C$113,0)),""))</f>
        <v/>
      </c>
      <c r="M770" s="7">
        <f t="shared" si="33"/>
        <v>0</v>
      </c>
      <c r="N770" s="13">
        <f>IF(AND(ISNUMBER(D770),ISNUMBER(Parametry!$G$6)),IF(AND(YEAR(D770)=Parametry!$G$6,M770&lt;=Parametry!$G$7),1,0),0)</f>
        <v>0</v>
      </c>
      <c r="O770" s="13">
        <f>IF(C770="",IF(COUNTA(D770:J770)&gt;0,1,0),IF(OR(COUNTIFS($C$9:$C$1008,C770)&lt;&gt;1,NOT(ISNUMBER(D770)),NOT(ISNUMBER(I770)),L770="",AND(F770&lt;&gt;"",COUNTIFS(Umowy!$C$9:$C$108,F770,Umowy!$D$9:$D$108,L770)&lt;&gt;1)),1,0))</f>
        <v>0</v>
      </c>
      <c r="P770" s="7" t="str">
        <f t="shared" si="34"/>
        <v/>
      </c>
      <c r="Q770" s="7" t="str">
        <f t="shared" si="35"/>
        <v/>
      </c>
    </row>
    <row r="771" spans="1:17" ht="24" customHeight="1">
      <c r="A771" s="7"/>
      <c r="B771" s="7"/>
      <c r="C771" s="3"/>
      <c r="D771" s="2"/>
      <c r="E771" s="3"/>
      <c r="F771" s="3"/>
      <c r="G771" s="3"/>
      <c r="H771" s="3"/>
      <c r="I771" s="6"/>
      <c r="J771" s="3"/>
      <c r="K771" s="7"/>
      <c r="L771" s="13" t="str">
        <f>IF(C771="","",IF(COUNTIFS(Parametry!$C$54:$C$113,E771)=1,INDEX(Parametry!$D$54:$D$113,MATCH(E771,Parametry!$C$54:$C$113,0)),""))</f>
        <v/>
      </c>
      <c r="M771" s="7">
        <f t="shared" si="33"/>
        <v>0</v>
      </c>
      <c r="N771" s="13">
        <f>IF(AND(ISNUMBER(D771),ISNUMBER(Parametry!$G$6)),IF(AND(YEAR(D771)=Parametry!$G$6,M771&lt;=Parametry!$G$7),1,0),0)</f>
        <v>0</v>
      </c>
      <c r="O771" s="13">
        <f>IF(C771="",IF(COUNTA(D771:J771)&gt;0,1,0),IF(OR(COUNTIFS($C$9:$C$1008,C771)&lt;&gt;1,NOT(ISNUMBER(D771)),NOT(ISNUMBER(I771)),L771="",AND(F771&lt;&gt;"",COUNTIFS(Umowy!$C$9:$C$108,F771,Umowy!$D$9:$D$108,L771)&lt;&gt;1)),1,0))</f>
        <v>0</v>
      </c>
      <c r="P771" s="7" t="str">
        <f t="shared" si="34"/>
        <v/>
      </c>
      <c r="Q771" s="7" t="str">
        <f t="shared" si="35"/>
        <v/>
      </c>
    </row>
    <row r="772" spans="1:17" ht="24" customHeight="1">
      <c r="A772" s="7"/>
      <c r="B772" s="7"/>
      <c r="C772" s="3"/>
      <c r="D772" s="2"/>
      <c r="E772" s="3"/>
      <c r="F772" s="3"/>
      <c r="G772" s="3"/>
      <c r="H772" s="3"/>
      <c r="I772" s="6"/>
      <c r="J772" s="3"/>
      <c r="K772" s="7"/>
      <c r="L772" s="13" t="str">
        <f>IF(C772="","",IF(COUNTIFS(Parametry!$C$54:$C$113,E772)=1,INDEX(Parametry!$D$54:$D$113,MATCH(E772,Parametry!$C$54:$C$113,0)),""))</f>
        <v/>
      </c>
      <c r="M772" s="7">
        <f t="shared" si="33"/>
        <v>0</v>
      </c>
      <c r="N772" s="13">
        <f>IF(AND(ISNUMBER(D772),ISNUMBER(Parametry!$G$6)),IF(AND(YEAR(D772)=Parametry!$G$6,M772&lt;=Parametry!$G$7),1,0),0)</f>
        <v>0</v>
      </c>
      <c r="O772" s="13">
        <f>IF(C772="",IF(COUNTA(D772:J772)&gt;0,1,0),IF(OR(COUNTIFS($C$9:$C$1008,C772)&lt;&gt;1,NOT(ISNUMBER(D772)),NOT(ISNUMBER(I772)),L772="",AND(F772&lt;&gt;"",COUNTIFS(Umowy!$C$9:$C$108,F772,Umowy!$D$9:$D$108,L772)&lt;&gt;1)),1,0))</f>
        <v>0</v>
      </c>
      <c r="P772" s="7" t="str">
        <f t="shared" si="34"/>
        <v/>
      </c>
      <c r="Q772" s="7" t="str">
        <f t="shared" si="35"/>
        <v/>
      </c>
    </row>
    <row r="773" spans="1:17" ht="24" customHeight="1">
      <c r="A773" s="7"/>
      <c r="B773" s="7"/>
      <c r="C773" s="3"/>
      <c r="D773" s="2"/>
      <c r="E773" s="3"/>
      <c r="F773" s="3"/>
      <c r="G773" s="3"/>
      <c r="H773" s="3"/>
      <c r="I773" s="6"/>
      <c r="J773" s="3"/>
      <c r="K773" s="7"/>
      <c r="L773" s="13" t="str">
        <f>IF(C773="","",IF(COUNTIFS(Parametry!$C$54:$C$113,E773)=1,INDEX(Parametry!$D$54:$D$113,MATCH(E773,Parametry!$C$54:$C$113,0)),""))</f>
        <v/>
      </c>
      <c r="M773" s="7">
        <f t="shared" si="33"/>
        <v>0</v>
      </c>
      <c r="N773" s="13">
        <f>IF(AND(ISNUMBER(D773),ISNUMBER(Parametry!$G$6)),IF(AND(YEAR(D773)=Parametry!$G$6,M773&lt;=Parametry!$G$7),1,0),0)</f>
        <v>0</v>
      </c>
      <c r="O773" s="13">
        <f>IF(C773="",IF(COUNTA(D773:J773)&gt;0,1,0),IF(OR(COUNTIFS($C$9:$C$1008,C773)&lt;&gt;1,NOT(ISNUMBER(D773)),NOT(ISNUMBER(I773)),L773="",AND(F773&lt;&gt;"",COUNTIFS(Umowy!$C$9:$C$108,F773,Umowy!$D$9:$D$108,L773)&lt;&gt;1)),1,0))</f>
        <v>0</v>
      </c>
      <c r="P773" s="7" t="str">
        <f t="shared" si="34"/>
        <v/>
      </c>
      <c r="Q773" s="7" t="str">
        <f t="shared" si="35"/>
        <v/>
      </c>
    </row>
    <row r="774" spans="1:17" ht="24" customHeight="1">
      <c r="A774" s="7"/>
      <c r="B774" s="7"/>
      <c r="C774" s="3"/>
      <c r="D774" s="2"/>
      <c r="E774" s="3"/>
      <c r="F774" s="3"/>
      <c r="G774" s="3"/>
      <c r="H774" s="3"/>
      <c r="I774" s="6"/>
      <c r="J774" s="3"/>
      <c r="K774" s="7"/>
      <c r="L774" s="13" t="str">
        <f>IF(C774="","",IF(COUNTIFS(Parametry!$C$54:$C$113,E774)=1,INDEX(Parametry!$D$54:$D$113,MATCH(E774,Parametry!$C$54:$C$113,0)),""))</f>
        <v/>
      </c>
      <c r="M774" s="7">
        <f t="shared" si="33"/>
        <v>0</v>
      </c>
      <c r="N774" s="13">
        <f>IF(AND(ISNUMBER(D774),ISNUMBER(Parametry!$G$6)),IF(AND(YEAR(D774)=Parametry!$G$6,M774&lt;=Parametry!$G$7),1,0),0)</f>
        <v>0</v>
      </c>
      <c r="O774" s="13">
        <f>IF(C774="",IF(COUNTA(D774:J774)&gt;0,1,0),IF(OR(COUNTIFS($C$9:$C$1008,C774)&lt;&gt;1,NOT(ISNUMBER(D774)),NOT(ISNUMBER(I774)),L774="",AND(F774&lt;&gt;"",COUNTIFS(Umowy!$C$9:$C$108,F774,Umowy!$D$9:$D$108,L774)&lt;&gt;1)),1,0))</f>
        <v>0</v>
      </c>
      <c r="P774" s="7" t="str">
        <f t="shared" si="34"/>
        <v/>
      </c>
      <c r="Q774" s="7" t="str">
        <f t="shared" si="35"/>
        <v/>
      </c>
    </row>
    <row r="775" spans="1:17" ht="24" customHeight="1">
      <c r="A775" s="7"/>
      <c r="B775" s="7"/>
      <c r="C775" s="3"/>
      <c r="D775" s="2"/>
      <c r="E775" s="3"/>
      <c r="F775" s="3"/>
      <c r="G775" s="3"/>
      <c r="H775" s="3"/>
      <c r="I775" s="6"/>
      <c r="J775" s="3"/>
      <c r="K775" s="7"/>
      <c r="L775" s="13" t="str">
        <f>IF(C775="","",IF(COUNTIFS(Parametry!$C$54:$C$113,E775)=1,INDEX(Parametry!$D$54:$D$113,MATCH(E775,Parametry!$C$54:$C$113,0)),""))</f>
        <v/>
      </c>
      <c r="M775" s="7">
        <f t="shared" si="33"/>
        <v>0</v>
      </c>
      <c r="N775" s="13">
        <f>IF(AND(ISNUMBER(D775),ISNUMBER(Parametry!$G$6)),IF(AND(YEAR(D775)=Parametry!$G$6,M775&lt;=Parametry!$G$7),1,0),0)</f>
        <v>0</v>
      </c>
      <c r="O775" s="13">
        <f>IF(C775="",IF(COUNTA(D775:J775)&gt;0,1,0),IF(OR(COUNTIFS($C$9:$C$1008,C775)&lt;&gt;1,NOT(ISNUMBER(D775)),NOT(ISNUMBER(I775)),L775="",AND(F775&lt;&gt;"",COUNTIFS(Umowy!$C$9:$C$108,F775,Umowy!$D$9:$D$108,L775)&lt;&gt;1)),1,0))</f>
        <v>0</v>
      </c>
      <c r="P775" s="7" t="str">
        <f t="shared" si="34"/>
        <v/>
      </c>
      <c r="Q775" s="7" t="str">
        <f t="shared" si="35"/>
        <v/>
      </c>
    </row>
    <row r="776" spans="1:17" ht="24" customHeight="1">
      <c r="A776" s="7"/>
      <c r="B776" s="7"/>
      <c r="C776" s="3"/>
      <c r="D776" s="2"/>
      <c r="E776" s="3"/>
      <c r="F776" s="3"/>
      <c r="G776" s="3"/>
      <c r="H776" s="3"/>
      <c r="I776" s="6"/>
      <c r="J776" s="3"/>
      <c r="K776" s="7"/>
      <c r="L776" s="13" t="str">
        <f>IF(C776="","",IF(COUNTIFS(Parametry!$C$54:$C$113,E776)=1,INDEX(Parametry!$D$54:$D$113,MATCH(E776,Parametry!$C$54:$C$113,0)),""))</f>
        <v/>
      </c>
      <c r="M776" s="7">
        <f t="shared" si="33"/>
        <v>0</v>
      </c>
      <c r="N776" s="13">
        <f>IF(AND(ISNUMBER(D776),ISNUMBER(Parametry!$G$6)),IF(AND(YEAR(D776)=Parametry!$G$6,M776&lt;=Parametry!$G$7),1,0),0)</f>
        <v>0</v>
      </c>
      <c r="O776" s="13">
        <f>IF(C776="",IF(COUNTA(D776:J776)&gt;0,1,0),IF(OR(COUNTIFS($C$9:$C$1008,C776)&lt;&gt;1,NOT(ISNUMBER(D776)),NOT(ISNUMBER(I776)),L776="",AND(F776&lt;&gt;"",COUNTIFS(Umowy!$C$9:$C$108,F776,Umowy!$D$9:$D$108,L776)&lt;&gt;1)),1,0))</f>
        <v>0</v>
      </c>
      <c r="P776" s="7" t="str">
        <f t="shared" si="34"/>
        <v/>
      </c>
      <c r="Q776" s="7" t="str">
        <f t="shared" si="35"/>
        <v/>
      </c>
    </row>
    <row r="777" spans="1:17" ht="24" customHeight="1">
      <c r="A777" s="7"/>
      <c r="B777" s="7"/>
      <c r="C777" s="3"/>
      <c r="D777" s="2"/>
      <c r="E777" s="3"/>
      <c r="F777" s="3"/>
      <c r="G777" s="3"/>
      <c r="H777" s="3"/>
      <c r="I777" s="6"/>
      <c r="J777" s="3"/>
      <c r="K777" s="7"/>
      <c r="L777" s="13" t="str">
        <f>IF(C777="","",IF(COUNTIFS(Parametry!$C$54:$C$113,E777)=1,INDEX(Parametry!$D$54:$D$113,MATCH(E777,Parametry!$C$54:$C$113,0)),""))</f>
        <v/>
      </c>
      <c r="M777" s="7">
        <f t="shared" ref="M777:M840" si="36">IF(ISNUMBER(D777),MONTH(D777),0)</f>
        <v>0</v>
      </c>
      <c r="N777" s="13">
        <f>IF(AND(ISNUMBER(D777),ISNUMBER(Parametry!$G$6)),IF(AND(YEAR(D777)=Parametry!$G$6,M777&lt;=Parametry!$G$7),1,0),0)</f>
        <v>0</v>
      </c>
      <c r="O777" s="13">
        <f>IF(C777="",IF(COUNTA(D777:J777)&gt;0,1,0),IF(OR(COUNTIFS($C$9:$C$1008,C777)&lt;&gt;1,NOT(ISNUMBER(D777)),NOT(ISNUMBER(I777)),L777="",AND(F777&lt;&gt;"",COUNTIFS(Umowy!$C$9:$C$108,F777,Umowy!$D$9:$D$108,L777)&lt;&gt;1)),1,0))</f>
        <v>0</v>
      </c>
      <c r="P777" s="7" t="str">
        <f t="shared" ref="P777:P840" si="37">IF(O777=0,"",IF(C777="","Missing RowID",IF(COUNTIFS($C$9:$C$1008,C777)&lt;&gt;1,"Duplicate RowID",IF(L777="","Unmapped ERPKey",IF(NOT(ISNUMBER(D777)),"Invalid Date",IF(NOT(ISNUMBER(I777)),"Invalid AmountPLN","CommitmentID / BudgetID"))))))</f>
        <v/>
      </c>
      <c r="Q777" s="7" t="str">
        <f t="shared" ref="Q777:Q840" si="38">IF(C777="","",IF(N777=1,"","Nie ujęto w wykonaniu okresu"))</f>
        <v/>
      </c>
    </row>
    <row r="778" spans="1:17" ht="24" customHeight="1">
      <c r="A778" s="7"/>
      <c r="B778" s="7"/>
      <c r="C778" s="3"/>
      <c r="D778" s="2"/>
      <c r="E778" s="3"/>
      <c r="F778" s="3"/>
      <c r="G778" s="3"/>
      <c r="H778" s="3"/>
      <c r="I778" s="6"/>
      <c r="J778" s="3"/>
      <c r="K778" s="7"/>
      <c r="L778" s="13" t="str">
        <f>IF(C778="","",IF(COUNTIFS(Parametry!$C$54:$C$113,E778)=1,INDEX(Parametry!$D$54:$D$113,MATCH(E778,Parametry!$C$54:$C$113,0)),""))</f>
        <v/>
      </c>
      <c r="M778" s="7">
        <f t="shared" si="36"/>
        <v>0</v>
      </c>
      <c r="N778" s="13">
        <f>IF(AND(ISNUMBER(D778),ISNUMBER(Parametry!$G$6)),IF(AND(YEAR(D778)=Parametry!$G$6,M778&lt;=Parametry!$G$7),1,0),0)</f>
        <v>0</v>
      </c>
      <c r="O778" s="13">
        <f>IF(C778="",IF(COUNTA(D778:J778)&gt;0,1,0),IF(OR(COUNTIFS($C$9:$C$1008,C778)&lt;&gt;1,NOT(ISNUMBER(D778)),NOT(ISNUMBER(I778)),L778="",AND(F778&lt;&gt;"",COUNTIFS(Umowy!$C$9:$C$108,F778,Umowy!$D$9:$D$108,L778)&lt;&gt;1)),1,0))</f>
        <v>0</v>
      </c>
      <c r="P778" s="7" t="str">
        <f t="shared" si="37"/>
        <v/>
      </c>
      <c r="Q778" s="7" t="str">
        <f t="shared" si="38"/>
        <v/>
      </c>
    </row>
    <row r="779" spans="1:17" ht="24" customHeight="1">
      <c r="A779" s="7"/>
      <c r="B779" s="7"/>
      <c r="C779" s="3"/>
      <c r="D779" s="2"/>
      <c r="E779" s="3"/>
      <c r="F779" s="3"/>
      <c r="G779" s="3"/>
      <c r="H779" s="3"/>
      <c r="I779" s="6"/>
      <c r="J779" s="3"/>
      <c r="K779" s="7"/>
      <c r="L779" s="13" t="str">
        <f>IF(C779="","",IF(COUNTIFS(Parametry!$C$54:$C$113,E779)=1,INDEX(Parametry!$D$54:$D$113,MATCH(E779,Parametry!$C$54:$C$113,0)),""))</f>
        <v/>
      </c>
      <c r="M779" s="7">
        <f t="shared" si="36"/>
        <v>0</v>
      </c>
      <c r="N779" s="13">
        <f>IF(AND(ISNUMBER(D779),ISNUMBER(Parametry!$G$6)),IF(AND(YEAR(D779)=Parametry!$G$6,M779&lt;=Parametry!$G$7),1,0),0)</f>
        <v>0</v>
      </c>
      <c r="O779" s="13">
        <f>IF(C779="",IF(COUNTA(D779:J779)&gt;0,1,0),IF(OR(COUNTIFS($C$9:$C$1008,C779)&lt;&gt;1,NOT(ISNUMBER(D779)),NOT(ISNUMBER(I779)),L779="",AND(F779&lt;&gt;"",COUNTIFS(Umowy!$C$9:$C$108,F779,Umowy!$D$9:$D$108,L779)&lt;&gt;1)),1,0))</f>
        <v>0</v>
      </c>
      <c r="P779" s="7" t="str">
        <f t="shared" si="37"/>
        <v/>
      </c>
      <c r="Q779" s="7" t="str">
        <f t="shared" si="38"/>
        <v/>
      </c>
    </row>
    <row r="780" spans="1:17" ht="24" customHeight="1">
      <c r="A780" s="7"/>
      <c r="B780" s="7"/>
      <c r="C780" s="3"/>
      <c r="D780" s="2"/>
      <c r="E780" s="3"/>
      <c r="F780" s="3"/>
      <c r="G780" s="3"/>
      <c r="H780" s="3"/>
      <c r="I780" s="6"/>
      <c r="J780" s="3"/>
      <c r="K780" s="7"/>
      <c r="L780" s="13" t="str">
        <f>IF(C780="","",IF(COUNTIFS(Parametry!$C$54:$C$113,E780)=1,INDEX(Parametry!$D$54:$D$113,MATCH(E780,Parametry!$C$54:$C$113,0)),""))</f>
        <v/>
      </c>
      <c r="M780" s="7">
        <f t="shared" si="36"/>
        <v>0</v>
      </c>
      <c r="N780" s="13">
        <f>IF(AND(ISNUMBER(D780),ISNUMBER(Parametry!$G$6)),IF(AND(YEAR(D780)=Parametry!$G$6,M780&lt;=Parametry!$G$7),1,0),0)</f>
        <v>0</v>
      </c>
      <c r="O780" s="13">
        <f>IF(C780="",IF(COUNTA(D780:J780)&gt;0,1,0),IF(OR(COUNTIFS($C$9:$C$1008,C780)&lt;&gt;1,NOT(ISNUMBER(D780)),NOT(ISNUMBER(I780)),L780="",AND(F780&lt;&gt;"",COUNTIFS(Umowy!$C$9:$C$108,F780,Umowy!$D$9:$D$108,L780)&lt;&gt;1)),1,0))</f>
        <v>0</v>
      </c>
      <c r="P780" s="7" t="str">
        <f t="shared" si="37"/>
        <v/>
      </c>
      <c r="Q780" s="7" t="str">
        <f t="shared" si="38"/>
        <v/>
      </c>
    </row>
    <row r="781" spans="1:17" ht="24" customHeight="1">
      <c r="A781" s="7"/>
      <c r="B781" s="7"/>
      <c r="C781" s="3"/>
      <c r="D781" s="2"/>
      <c r="E781" s="3"/>
      <c r="F781" s="3"/>
      <c r="G781" s="3"/>
      <c r="H781" s="3"/>
      <c r="I781" s="6"/>
      <c r="J781" s="3"/>
      <c r="K781" s="7"/>
      <c r="L781" s="13" t="str">
        <f>IF(C781="","",IF(COUNTIFS(Parametry!$C$54:$C$113,E781)=1,INDEX(Parametry!$D$54:$D$113,MATCH(E781,Parametry!$C$54:$C$113,0)),""))</f>
        <v/>
      </c>
      <c r="M781" s="7">
        <f t="shared" si="36"/>
        <v>0</v>
      </c>
      <c r="N781" s="13">
        <f>IF(AND(ISNUMBER(D781),ISNUMBER(Parametry!$G$6)),IF(AND(YEAR(D781)=Parametry!$G$6,M781&lt;=Parametry!$G$7),1,0),0)</f>
        <v>0</v>
      </c>
      <c r="O781" s="13">
        <f>IF(C781="",IF(COUNTA(D781:J781)&gt;0,1,0),IF(OR(COUNTIFS($C$9:$C$1008,C781)&lt;&gt;1,NOT(ISNUMBER(D781)),NOT(ISNUMBER(I781)),L781="",AND(F781&lt;&gt;"",COUNTIFS(Umowy!$C$9:$C$108,F781,Umowy!$D$9:$D$108,L781)&lt;&gt;1)),1,0))</f>
        <v>0</v>
      </c>
      <c r="P781" s="7" t="str">
        <f t="shared" si="37"/>
        <v/>
      </c>
      <c r="Q781" s="7" t="str">
        <f t="shared" si="38"/>
        <v/>
      </c>
    </row>
    <row r="782" spans="1:17" ht="24" customHeight="1">
      <c r="A782" s="7"/>
      <c r="B782" s="7"/>
      <c r="C782" s="3"/>
      <c r="D782" s="2"/>
      <c r="E782" s="3"/>
      <c r="F782" s="3"/>
      <c r="G782" s="3"/>
      <c r="H782" s="3"/>
      <c r="I782" s="6"/>
      <c r="J782" s="3"/>
      <c r="K782" s="7"/>
      <c r="L782" s="13" t="str">
        <f>IF(C782="","",IF(COUNTIFS(Parametry!$C$54:$C$113,E782)=1,INDEX(Parametry!$D$54:$D$113,MATCH(E782,Parametry!$C$54:$C$113,0)),""))</f>
        <v/>
      </c>
      <c r="M782" s="7">
        <f t="shared" si="36"/>
        <v>0</v>
      </c>
      <c r="N782" s="13">
        <f>IF(AND(ISNUMBER(D782),ISNUMBER(Parametry!$G$6)),IF(AND(YEAR(D782)=Parametry!$G$6,M782&lt;=Parametry!$G$7),1,0),0)</f>
        <v>0</v>
      </c>
      <c r="O782" s="13">
        <f>IF(C782="",IF(COUNTA(D782:J782)&gt;0,1,0),IF(OR(COUNTIFS($C$9:$C$1008,C782)&lt;&gt;1,NOT(ISNUMBER(D782)),NOT(ISNUMBER(I782)),L782="",AND(F782&lt;&gt;"",COUNTIFS(Umowy!$C$9:$C$108,F782,Umowy!$D$9:$D$108,L782)&lt;&gt;1)),1,0))</f>
        <v>0</v>
      </c>
      <c r="P782" s="7" t="str">
        <f t="shared" si="37"/>
        <v/>
      </c>
      <c r="Q782" s="7" t="str">
        <f t="shared" si="38"/>
        <v/>
      </c>
    </row>
    <row r="783" spans="1:17" ht="24" customHeight="1">
      <c r="A783" s="7"/>
      <c r="B783" s="7"/>
      <c r="C783" s="3"/>
      <c r="D783" s="2"/>
      <c r="E783" s="3"/>
      <c r="F783" s="3"/>
      <c r="G783" s="3"/>
      <c r="H783" s="3"/>
      <c r="I783" s="6"/>
      <c r="J783" s="3"/>
      <c r="K783" s="7"/>
      <c r="L783" s="13" t="str">
        <f>IF(C783="","",IF(COUNTIFS(Parametry!$C$54:$C$113,E783)=1,INDEX(Parametry!$D$54:$D$113,MATCH(E783,Parametry!$C$54:$C$113,0)),""))</f>
        <v/>
      </c>
      <c r="M783" s="7">
        <f t="shared" si="36"/>
        <v>0</v>
      </c>
      <c r="N783" s="13">
        <f>IF(AND(ISNUMBER(D783),ISNUMBER(Parametry!$G$6)),IF(AND(YEAR(D783)=Parametry!$G$6,M783&lt;=Parametry!$G$7),1,0),0)</f>
        <v>0</v>
      </c>
      <c r="O783" s="13">
        <f>IF(C783="",IF(COUNTA(D783:J783)&gt;0,1,0),IF(OR(COUNTIFS($C$9:$C$1008,C783)&lt;&gt;1,NOT(ISNUMBER(D783)),NOT(ISNUMBER(I783)),L783="",AND(F783&lt;&gt;"",COUNTIFS(Umowy!$C$9:$C$108,F783,Umowy!$D$9:$D$108,L783)&lt;&gt;1)),1,0))</f>
        <v>0</v>
      </c>
      <c r="P783" s="7" t="str">
        <f t="shared" si="37"/>
        <v/>
      </c>
      <c r="Q783" s="7" t="str">
        <f t="shared" si="38"/>
        <v/>
      </c>
    </row>
    <row r="784" spans="1:17" ht="24" customHeight="1">
      <c r="A784" s="7"/>
      <c r="B784" s="7"/>
      <c r="C784" s="3"/>
      <c r="D784" s="2"/>
      <c r="E784" s="3"/>
      <c r="F784" s="3"/>
      <c r="G784" s="3"/>
      <c r="H784" s="3"/>
      <c r="I784" s="6"/>
      <c r="J784" s="3"/>
      <c r="K784" s="7"/>
      <c r="L784" s="13" t="str">
        <f>IF(C784="","",IF(COUNTIFS(Parametry!$C$54:$C$113,E784)=1,INDEX(Parametry!$D$54:$D$113,MATCH(E784,Parametry!$C$54:$C$113,0)),""))</f>
        <v/>
      </c>
      <c r="M784" s="7">
        <f t="shared" si="36"/>
        <v>0</v>
      </c>
      <c r="N784" s="13">
        <f>IF(AND(ISNUMBER(D784),ISNUMBER(Parametry!$G$6)),IF(AND(YEAR(D784)=Parametry!$G$6,M784&lt;=Parametry!$G$7),1,0),0)</f>
        <v>0</v>
      </c>
      <c r="O784" s="13">
        <f>IF(C784="",IF(COUNTA(D784:J784)&gt;0,1,0),IF(OR(COUNTIFS($C$9:$C$1008,C784)&lt;&gt;1,NOT(ISNUMBER(D784)),NOT(ISNUMBER(I784)),L784="",AND(F784&lt;&gt;"",COUNTIFS(Umowy!$C$9:$C$108,F784,Umowy!$D$9:$D$108,L784)&lt;&gt;1)),1,0))</f>
        <v>0</v>
      </c>
      <c r="P784" s="7" t="str">
        <f t="shared" si="37"/>
        <v/>
      </c>
      <c r="Q784" s="7" t="str">
        <f t="shared" si="38"/>
        <v/>
      </c>
    </row>
    <row r="785" spans="1:17" ht="24" customHeight="1">
      <c r="A785" s="7"/>
      <c r="B785" s="7"/>
      <c r="C785" s="3"/>
      <c r="D785" s="2"/>
      <c r="E785" s="3"/>
      <c r="F785" s="3"/>
      <c r="G785" s="3"/>
      <c r="H785" s="3"/>
      <c r="I785" s="6"/>
      <c r="J785" s="3"/>
      <c r="K785" s="7"/>
      <c r="L785" s="13" t="str">
        <f>IF(C785="","",IF(COUNTIFS(Parametry!$C$54:$C$113,E785)=1,INDEX(Parametry!$D$54:$D$113,MATCH(E785,Parametry!$C$54:$C$113,0)),""))</f>
        <v/>
      </c>
      <c r="M785" s="7">
        <f t="shared" si="36"/>
        <v>0</v>
      </c>
      <c r="N785" s="13">
        <f>IF(AND(ISNUMBER(D785),ISNUMBER(Parametry!$G$6)),IF(AND(YEAR(D785)=Parametry!$G$6,M785&lt;=Parametry!$G$7),1,0),0)</f>
        <v>0</v>
      </c>
      <c r="O785" s="13">
        <f>IF(C785="",IF(COUNTA(D785:J785)&gt;0,1,0),IF(OR(COUNTIFS($C$9:$C$1008,C785)&lt;&gt;1,NOT(ISNUMBER(D785)),NOT(ISNUMBER(I785)),L785="",AND(F785&lt;&gt;"",COUNTIFS(Umowy!$C$9:$C$108,F785,Umowy!$D$9:$D$108,L785)&lt;&gt;1)),1,0))</f>
        <v>0</v>
      </c>
      <c r="P785" s="7" t="str">
        <f t="shared" si="37"/>
        <v/>
      </c>
      <c r="Q785" s="7" t="str">
        <f t="shared" si="38"/>
        <v/>
      </c>
    </row>
    <row r="786" spans="1:17" ht="24" customHeight="1">
      <c r="A786" s="7"/>
      <c r="B786" s="7"/>
      <c r="C786" s="3"/>
      <c r="D786" s="2"/>
      <c r="E786" s="3"/>
      <c r="F786" s="3"/>
      <c r="G786" s="3"/>
      <c r="H786" s="3"/>
      <c r="I786" s="6"/>
      <c r="J786" s="3"/>
      <c r="K786" s="7"/>
      <c r="L786" s="13" t="str">
        <f>IF(C786="","",IF(COUNTIFS(Parametry!$C$54:$C$113,E786)=1,INDEX(Parametry!$D$54:$D$113,MATCH(E786,Parametry!$C$54:$C$113,0)),""))</f>
        <v/>
      </c>
      <c r="M786" s="7">
        <f t="shared" si="36"/>
        <v>0</v>
      </c>
      <c r="N786" s="13">
        <f>IF(AND(ISNUMBER(D786),ISNUMBER(Parametry!$G$6)),IF(AND(YEAR(D786)=Parametry!$G$6,M786&lt;=Parametry!$G$7),1,0),0)</f>
        <v>0</v>
      </c>
      <c r="O786" s="13">
        <f>IF(C786="",IF(COUNTA(D786:J786)&gt;0,1,0),IF(OR(COUNTIFS($C$9:$C$1008,C786)&lt;&gt;1,NOT(ISNUMBER(D786)),NOT(ISNUMBER(I786)),L786="",AND(F786&lt;&gt;"",COUNTIFS(Umowy!$C$9:$C$108,F786,Umowy!$D$9:$D$108,L786)&lt;&gt;1)),1,0))</f>
        <v>0</v>
      </c>
      <c r="P786" s="7" t="str">
        <f t="shared" si="37"/>
        <v/>
      </c>
      <c r="Q786" s="7" t="str">
        <f t="shared" si="38"/>
        <v/>
      </c>
    </row>
    <row r="787" spans="1:17" ht="24" customHeight="1">
      <c r="A787" s="7"/>
      <c r="B787" s="7"/>
      <c r="C787" s="3"/>
      <c r="D787" s="2"/>
      <c r="E787" s="3"/>
      <c r="F787" s="3"/>
      <c r="G787" s="3"/>
      <c r="H787" s="3"/>
      <c r="I787" s="6"/>
      <c r="J787" s="3"/>
      <c r="K787" s="7"/>
      <c r="L787" s="13" t="str">
        <f>IF(C787="","",IF(COUNTIFS(Parametry!$C$54:$C$113,E787)=1,INDEX(Parametry!$D$54:$D$113,MATCH(E787,Parametry!$C$54:$C$113,0)),""))</f>
        <v/>
      </c>
      <c r="M787" s="7">
        <f t="shared" si="36"/>
        <v>0</v>
      </c>
      <c r="N787" s="13">
        <f>IF(AND(ISNUMBER(D787),ISNUMBER(Parametry!$G$6)),IF(AND(YEAR(D787)=Parametry!$G$6,M787&lt;=Parametry!$G$7),1,0),0)</f>
        <v>0</v>
      </c>
      <c r="O787" s="13">
        <f>IF(C787="",IF(COUNTA(D787:J787)&gt;0,1,0),IF(OR(COUNTIFS($C$9:$C$1008,C787)&lt;&gt;1,NOT(ISNUMBER(D787)),NOT(ISNUMBER(I787)),L787="",AND(F787&lt;&gt;"",COUNTIFS(Umowy!$C$9:$C$108,F787,Umowy!$D$9:$D$108,L787)&lt;&gt;1)),1,0))</f>
        <v>0</v>
      </c>
      <c r="P787" s="7" t="str">
        <f t="shared" si="37"/>
        <v/>
      </c>
      <c r="Q787" s="7" t="str">
        <f t="shared" si="38"/>
        <v/>
      </c>
    </row>
    <row r="788" spans="1:17" ht="24" customHeight="1">
      <c r="A788" s="7"/>
      <c r="B788" s="7"/>
      <c r="C788" s="3"/>
      <c r="D788" s="2"/>
      <c r="E788" s="3"/>
      <c r="F788" s="3"/>
      <c r="G788" s="3"/>
      <c r="H788" s="3"/>
      <c r="I788" s="6"/>
      <c r="J788" s="3"/>
      <c r="K788" s="7"/>
      <c r="L788" s="13" t="str">
        <f>IF(C788="","",IF(COUNTIFS(Parametry!$C$54:$C$113,E788)=1,INDEX(Parametry!$D$54:$D$113,MATCH(E788,Parametry!$C$54:$C$113,0)),""))</f>
        <v/>
      </c>
      <c r="M788" s="7">
        <f t="shared" si="36"/>
        <v>0</v>
      </c>
      <c r="N788" s="13">
        <f>IF(AND(ISNUMBER(D788),ISNUMBER(Parametry!$G$6)),IF(AND(YEAR(D788)=Parametry!$G$6,M788&lt;=Parametry!$G$7),1,0),0)</f>
        <v>0</v>
      </c>
      <c r="O788" s="13">
        <f>IF(C788="",IF(COUNTA(D788:J788)&gt;0,1,0),IF(OR(COUNTIFS($C$9:$C$1008,C788)&lt;&gt;1,NOT(ISNUMBER(D788)),NOT(ISNUMBER(I788)),L788="",AND(F788&lt;&gt;"",COUNTIFS(Umowy!$C$9:$C$108,F788,Umowy!$D$9:$D$108,L788)&lt;&gt;1)),1,0))</f>
        <v>0</v>
      </c>
      <c r="P788" s="7" t="str">
        <f t="shared" si="37"/>
        <v/>
      </c>
      <c r="Q788" s="7" t="str">
        <f t="shared" si="38"/>
        <v/>
      </c>
    </row>
    <row r="789" spans="1:17" ht="24" customHeight="1">
      <c r="A789" s="7"/>
      <c r="B789" s="7"/>
      <c r="C789" s="3"/>
      <c r="D789" s="2"/>
      <c r="E789" s="3"/>
      <c r="F789" s="3"/>
      <c r="G789" s="3"/>
      <c r="H789" s="3"/>
      <c r="I789" s="6"/>
      <c r="J789" s="3"/>
      <c r="K789" s="7"/>
      <c r="L789" s="13" t="str">
        <f>IF(C789="","",IF(COUNTIFS(Parametry!$C$54:$C$113,E789)=1,INDEX(Parametry!$D$54:$D$113,MATCH(E789,Parametry!$C$54:$C$113,0)),""))</f>
        <v/>
      </c>
      <c r="M789" s="7">
        <f t="shared" si="36"/>
        <v>0</v>
      </c>
      <c r="N789" s="13">
        <f>IF(AND(ISNUMBER(D789),ISNUMBER(Parametry!$G$6)),IF(AND(YEAR(D789)=Parametry!$G$6,M789&lt;=Parametry!$G$7),1,0),0)</f>
        <v>0</v>
      </c>
      <c r="O789" s="13">
        <f>IF(C789="",IF(COUNTA(D789:J789)&gt;0,1,0),IF(OR(COUNTIFS($C$9:$C$1008,C789)&lt;&gt;1,NOT(ISNUMBER(D789)),NOT(ISNUMBER(I789)),L789="",AND(F789&lt;&gt;"",COUNTIFS(Umowy!$C$9:$C$108,F789,Umowy!$D$9:$D$108,L789)&lt;&gt;1)),1,0))</f>
        <v>0</v>
      </c>
      <c r="P789" s="7" t="str">
        <f t="shared" si="37"/>
        <v/>
      </c>
      <c r="Q789" s="7" t="str">
        <f t="shared" si="38"/>
        <v/>
      </c>
    </row>
    <row r="790" spans="1:17" ht="24" customHeight="1">
      <c r="A790" s="7"/>
      <c r="B790" s="7"/>
      <c r="C790" s="3"/>
      <c r="D790" s="2"/>
      <c r="E790" s="3"/>
      <c r="F790" s="3"/>
      <c r="G790" s="3"/>
      <c r="H790" s="3"/>
      <c r="I790" s="6"/>
      <c r="J790" s="3"/>
      <c r="K790" s="7"/>
      <c r="L790" s="13" t="str">
        <f>IF(C790="","",IF(COUNTIFS(Parametry!$C$54:$C$113,E790)=1,INDEX(Parametry!$D$54:$D$113,MATCH(E790,Parametry!$C$54:$C$113,0)),""))</f>
        <v/>
      </c>
      <c r="M790" s="7">
        <f t="shared" si="36"/>
        <v>0</v>
      </c>
      <c r="N790" s="13">
        <f>IF(AND(ISNUMBER(D790),ISNUMBER(Parametry!$G$6)),IF(AND(YEAR(D790)=Parametry!$G$6,M790&lt;=Parametry!$G$7),1,0),0)</f>
        <v>0</v>
      </c>
      <c r="O790" s="13">
        <f>IF(C790="",IF(COUNTA(D790:J790)&gt;0,1,0),IF(OR(COUNTIFS($C$9:$C$1008,C790)&lt;&gt;1,NOT(ISNUMBER(D790)),NOT(ISNUMBER(I790)),L790="",AND(F790&lt;&gt;"",COUNTIFS(Umowy!$C$9:$C$108,F790,Umowy!$D$9:$D$108,L790)&lt;&gt;1)),1,0))</f>
        <v>0</v>
      </c>
      <c r="P790" s="7" t="str">
        <f t="shared" si="37"/>
        <v/>
      </c>
      <c r="Q790" s="7" t="str">
        <f t="shared" si="38"/>
        <v/>
      </c>
    </row>
    <row r="791" spans="1:17" ht="24" customHeight="1">
      <c r="A791" s="7"/>
      <c r="B791" s="7"/>
      <c r="C791" s="3"/>
      <c r="D791" s="2"/>
      <c r="E791" s="3"/>
      <c r="F791" s="3"/>
      <c r="G791" s="3"/>
      <c r="H791" s="3"/>
      <c r="I791" s="6"/>
      <c r="J791" s="3"/>
      <c r="K791" s="7"/>
      <c r="L791" s="13" t="str">
        <f>IF(C791="","",IF(COUNTIFS(Parametry!$C$54:$C$113,E791)=1,INDEX(Parametry!$D$54:$D$113,MATCH(E791,Parametry!$C$54:$C$113,0)),""))</f>
        <v/>
      </c>
      <c r="M791" s="7">
        <f t="shared" si="36"/>
        <v>0</v>
      </c>
      <c r="N791" s="13">
        <f>IF(AND(ISNUMBER(D791),ISNUMBER(Parametry!$G$6)),IF(AND(YEAR(D791)=Parametry!$G$6,M791&lt;=Parametry!$G$7),1,0),0)</f>
        <v>0</v>
      </c>
      <c r="O791" s="13">
        <f>IF(C791="",IF(COUNTA(D791:J791)&gt;0,1,0),IF(OR(COUNTIFS($C$9:$C$1008,C791)&lt;&gt;1,NOT(ISNUMBER(D791)),NOT(ISNUMBER(I791)),L791="",AND(F791&lt;&gt;"",COUNTIFS(Umowy!$C$9:$C$108,F791,Umowy!$D$9:$D$108,L791)&lt;&gt;1)),1,0))</f>
        <v>0</v>
      </c>
      <c r="P791" s="7" t="str">
        <f t="shared" si="37"/>
        <v/>
      </c>
      <c r="Q791" s="7" t="str">
        <f t="shared" si="38"/>
        <v/>
      </c>
    </row>
    <row r="792" spans="1:17" ht="24" customHeight="1">
      <c r="A792" s="7"/>
      <c r="B792" s="7"/>
      <c r="C792" s="3"/>
      <c r="D792" s="2"/>
      <c r="E792" s="3"/>
      <c r="F792" s="3"/>
      <c r="G792" s="3"/>
      <c r="H792" s="3"/>
      <c r="I792" s="6"/>
      <c r="J792" s="3"/>
      <c r="K792" s="7"/>
      <c r="L792" s="13" t="str">
        <f>IF(C792="","",IF(COUNTIFS(Parametry!$C$54:$C$113,E792)=1,INDEX(Parametry!$D$54:$D$113,MATCH(E792,Parametry!$C$54:$C$113,0)),""))</f>
        <v/>
      </c>
      <c r="M792" s="7">
        <f t="shared" si="36"/>
        <v>0</v>
      </c>
      <c r="N792" s="13">
        <f>IF(AND(ISNUMBER(D792),ISNUMBER(Parametry!$G$6)),IF(AND(YEAR(D792)=Parametry!$G$6,M792&lt;=Parametry!$G$7),1,0),0)</f>
        <v>0</v>
      </c>
      <c r="O792" s="13">
        <f>IF(C792="",IF(COUNTA(D792:J792)&gt;0,1,0),IF(OR(COUNTIFS($C$9:$C$1008,C792)&lt;&gt;1,NOT(ISNUMBER(D792)),NOT(ISNUMBER(I792)),L792="",AND(F792&lt;&gt;"",COUNTIFS(Umowy!$C$9:$C$108,F792,Umowy!$D$9:$D$108,L792)&lt;&gt;1)),1,0))</f>
        <v>0</v>
      </c>
      <c r="P792" s="7" t="str">
        <f t="shared" si="37"/>
        <v/>
      </c>
      <c r="Q792" s="7" t="str">
        <f t="shared" si="38"/>
        <v/>
      </c>
    </row>
    <row r="793" spans="1:17" ht="24" customHeight="1">
      <c r="A793" s="7"/>
      <c r="B793" s="7"/>
      <c r="C793" s="3"/>
      <c r="D793" s="2"/>
      <c r="E793" s="3"/>
      <c r="F793" s="3"/>
      <c r="G793" s="3"/>
      <c r="H793" s="3"/>
      <c r="I793" s="6"/>
      <c r="J793" s="3"/>
      <c r="K793" s="7"/>
      <c r="L793" s="13" t="str">
        <f>IF(C793="","",IF(COUNTIFS(Parametry!$C$54:$C$113,E793)=1,INDEX(Parametry!$D$54:$D$113,MATCH(E793,Parametry!$C$54:$C$113,0)),""))</f>
        <v/>
      </c>
      <c r="M793" s="7">
        <f t="shared" si="36"/>
        <v>0</v>
      </c>
      <c r="N793" s="13">
        <f>IF(AND(ISNUMBER(D793),ISNUMBER(Parametry!$G$6)),IF(AND(YEAR(D793)=Parametry!$G$6,M793&lt;=Parametry!$G$7),1,0),0)</f>
        <v>0</v>
      </c>
      <c r="O793" s="13">
        <f>IF(C793="",IF(COUNTA(D793:J793)&gt;0,1,0),IF(OR(COUNTIFS($C$9:$C$1008,C793)&lt;&gt;1,NOT(ISNUMBER(D793)),NOT(ISNUMBER(I793)),L793="",AND(F793&lt;&gt;"",COUNTIFS(Umowy!$C$9:$C$108,F793,Umowy!$D$9:$D$108,L793)&lt;&gt;1)),1,0))</f>
        <v>0</v>
      </c>
      <c r="P793" s="7" t="str">
        <f t="shared" si="37"/>
        <v/>
      </c>
      <c r="Q793" s="7" t="str">
        <f t="shared" si="38"/>
        <v/>
      </c>
    </row>
    <row r="794" spans="1:17" ht="24" customHeight="1">
      <c r="A794" s="7"/>
      <c r="B794" s="7"/>
      <c r="C794" s="3"/>
      <c r="D794" s="2"/>
      <c r="E794" s="3"/>
      <c r="F794" s="3"/>
      <c r="G794" s="3"/>
      <c r="H794" s="3"/>
      <c r="I794" s="6"/>
      <c r="J794" s="3"/>
      <c r="K794" s="7"/>
      <c r="L794" s="13" t="str">
        <f>IF(C794="","",IF(COUNTIFS(Parametry!$C$54:$C$113,E794)=1,INDEX(Parametry!$D$54:$D$113,MATCH(E794,Parametry!$C$54:$C$113,0)),""))</f>
        <v/>
      </c>
      <c r="M794" s="7">
        <f t="shared" si="36"/>
        <v>0</v>
      </c>
      <c r="N794" s="13">
        <f>IF(AND(ISNUMBER(D794),ISNUMBER(Parametry!$G$6)),IF(AND(YEAR(D794)=Parametry!$G$6,M794&lt;=Parametry!$G$7),1,0),0)</f>
        <v>0</v>
      </c>
      <c r="O794" s="13">
        <f>IF(C794="",IF(COUNTA(D794:J794)&gt;0,1,0),IF(OR(COUNTIFS($C$9:$C$1008,C794)&lt;&gt;1,NOT(ISNUMBER(D794)),NOT(ISNUMBER(I794)),L794="",AND(F794&lt;&gt;"",COUNTIFS(Umowy!$C$9:$C$108,F794,Umowy!$D$9:$D$108,L794)&lt;&gt;1)),1,0))</f>
        <v>0</v>
      </c>
      <c r="P794" s="7" t="str">
        <f t="shared" si="37"/>
        <v/>
      </c>
      <c r="Q794" s="7" t="str">
        <f t="shared" si="38"/>
        <v/>
      </c>
    </row>
    <row r="795" spans="1:17" ht="24" customHeight="1">
      <c r="A795" s="7"/>
      <c r="B795" s="7"/>
      <c r="C795" s="3"/>
      <c r="D795" s="2"/>
      <c r="E795" s="3"/>
      <c r="F795" s="3"/>
      <c r="G795" s="3"/>
      <c r="H795" s="3"/>
      <c r="I795" s="6"/>
      <c r="J795" s="3"/>
      <c r="K795" s="7"/>
      <c r="L795" s="13" t="str">
        <f>IF(C795="","",IF(COUNTIFS(Parametry!$C$54:$C$113,E795)=1,INDEX(Parametry!$D$54:$D$113,MATCH(E795,Parametry!$C$54:$C$113,0)),""))</f>
        <v/>
      </c>
      <c r="M795" s="7">
        <f t="shared" si="36"/>
        <v>0</v>
      </c>
      <c r="N795" s="13">
        <f>IF(AND(ISNUMBER(D795),ISNUMBER(Parametry!$G$6)),IF(AND(YEAR(D795)=Parametry!$G$6,M795&lt;=Parametry!$G$7),1,0),0)</f>
        <v>0</v>
      </c>
      <c r="O795" s="13">
        <f>IF(C795="",IF(COUNTA(D795:J795)&gt;0,1,0),IF(OR(COUNTIFS($C$9:$C$1008,C795)&lt;&gt;1,NOT(ISNUMBER(D795)),NOT(ISNUMBER(I795)),L795="",AND(F795&lt;&gt;"",COUNTIFS(Umowy!$C$9:$C$108,F795,Umowy!$D$9:$D$108,L795)&lt;&gt;1)),1,0))</f>
        <v>0</v>
      </c>
      <c r="P795" s="7" t="str">
        <f t="shared" si="37"/>
        <v/>
      </c>
      <c r="Q795" s="7" t="str">
        <f t="shared" si="38"/>
        <v/>
      </c>
    </row>
    <row r="796" spans="1:17" ht="24" customHeight="1">
      <c r="A796" s="7"/>
      <c r="B796" s="7"/>
      <c r="C796" s="3"/>
      <c r="D796" s="2"/>
      <c r="E796" s="3"/>
      <c r="F796" s="3"/>
      <c r="G796" s="3"/>
      <c r="H796" s="3"/>
      <c r="I796" s="6"/>
      <c r="J796" s="3"/>
      <c r="K796" s="7"/>
      <c r="L796" s="13" t="str">
        <f>IF(C796="","",IF(COUNTIFS(Parametry!$C$54:$C$113,E796)=1,INDEX(Parametry!$D$54:$D$113,MATCH(E796,Parametry!$C$54:$C$113,0)),""))</f>
        <v/>
      </c>
      <c r="M796" s="7">
        <f t="shared" si="36"/>
        <v>0</v>
      </c>
      <c r="N796" s="13">
        <f>IF(AND(ISNUMBER(D796),ISNUMBER(Parametry!$G$6)),IF(AND(YEAR(D796)=Parametry!$G$6,M796&lt;=Parametry!$G$7),1,0),0)</f>
        <v>0</v>
      </c>
      <c r="O796" s="13">
        <f>IF(C796="",IF(COUNTA(D796:J796)&gt;0,1,0),IF(OR(COUNTIFS($C$9:$C$1008,C796)&lt;&gt;1,NOT(ISNUMBER(D796)),NOT(ISNUMBER(I796)),L796="",AND(F796&lt;&gt;"",COUNTIFS(Umowy!$C$9:$C$108,F796,Umowy!$D$9:$D$108,L796)&lt;&gt;1)),1,0))</f>
        <v>0</v>
      </c>
      <c r="P796" s="7" t="str">
        <f t="shared" si="37"/>
        <v/>
      </c>
      <c r="Q796" s="7" t="str">
        <f t="shared" si="38"/>
        <v/>
      </c>
    </row>
    <row r="797" spans="1:17" ht="24" customHeight="1">
      <c r="A797" s="7"/>
      <c r="B797" s="7"/>
      <c r="C797" s="3"/>
      <c r="D797" s="2"/>
      <c r="E797" s="3"/>
      <c r="F797" s="3"/>
      <c r="G797" s="3"/>
      <c r="H797" s="3"/>
      <c r="I797" s="6"/>
      <c r="J797" s="3"/>
      <c r="K797" s="7"/>
      <c r="L797" s="13" t="str">
        <f>IF(C797="","",IF(COUNTIFS(Parametry!$C$54:$C$113,E797)=1,INDEX(Parametry!$D$54:$D$113,MATCH(E797,Parametry!$C$54:$C$113,0)),""))</f>
        <v/>
      </c>
      <c r="M797" s="7">
        <f t="shared" si="36"/>
        <v>0</v>
      </c>
      <c r="N797" s="13">
        <f>IF(AND(ISNUMBER(D797),ISNUMBER(Parametry!$G$6)),IF(AND(YEAR(D797)=Parametry!$G$6,M797&lt;=Parametry!$G$7),1,0),0)</f>
        <v>0</v>
      </c>
      <c r="O797" s="13">
        <f>IF(C797="",IF(COUNTA(D797:J797)&gt;0,1,0),IF(OR(COUNTIFS($C$9:$C$1008,C797)&lt;&gt;1,NOT(ISNUMBER(D797)),NOT(ISNUMBER(I797)),L797="",AND(F797&lt;&gt;"",COUNTIFS(Umowy!$C$9:$C$108,F797,Umowy!$D$9:$D$108,L797)&lt;&gt;1)),1,0))</f>
        <v>0</v>
      </c>
      <c r="P797" s="7" t="str">
        <f t="shared" si="37"/>
        <v/>
      </c>
      <c r="Q797" s="7" t="str">
        <f t="shared" si="38"/>
        <v/>
      </c>
    </row>
    <row r="798" spans="1:17" ht="24" customHeight="1">
      <c r="A798" s="7"/>
      <c r="B798" s="7"/>
      <c r="C798" s="3"/>
      <c r="D798" s="2"/>
      <c r="E798" s="3"/>
      <c r="F798" s="3"/>
      <c r="G798" s="3"/>
      <c r="H798" s="3"/>
      <c r="I798" s="6"/>
      <c r="J798" s="3"/>
      <c r="K798" s="7"/>
      <c r="L798" s="13" t="str">
        <f>IF(C798="","",IF(COUNTIFS(Parametry!$C$54:$C$113,E798)=1,INDEX(Parametry!$D$54:$D$113,MATCH(E798,Parametry!$C$54:$C$113,0)),""))</f>
        <v/>
      </c>
      <c r="M798" s="7">
        <f t="shared" si="36"/>
        <v>0</v>
      </c>
      <c r="N798" s="13">
        <f>IF(AND(ISNUMBER(D798),ISNUMBER(Parametry!$G$6)),IF(AND(YEAR(D798)=Parametry!$G$6,M798&lt;=Parametry!$G$7),1,0),0)</f>
        <v>0</v>
      </c>
      <c r="O798" s="13">
        <f>IF(C798="",IF(COUNTA(D798:J798)&gt;0,1,0),IF(OR(COUNTIFS($C$9:$C$1008,C798)&lt;&gt;1,NOT(ISNUMBER(D798)),NOT(ISNUMBER(I798)),L798="",AND(F798&lt;&gt;"",COUNTIFS(Umowy!$C$9:$C$108,F798,Umowy!$D$9:$D$108,L798)&lt;&gt;1)),1,0))</f>
        <v>0</v>
      </c>
      <c r="P798" s="7" t="str">
        <f t="shared" si="37"/>
        <v/>
      </c>
      <c r="Q798" s="7" t="str">
        <f t="shared" si="38"/>
        <v/>
      </c>
    </row>
    <row r="799" spans="1:17" ht="24" customHeight="1">
      <c r="A799" s="7"/>
      <c r="B799" s="7"/>
      <c r="C799" s="3"/>
      <c r="D799" s="2"/>
      <c r="E799" s="3"/>
      <c r="F799" s="3"/>
      <c r="G799" s="3"/>
      <c r="H799" s="3"/>
      <c r="I799" s="6"/>
      <c r="J799" s="3"/>
      <c r="K799" s="7"/>
      <c r="L799" s="13" t="str">
        <f>IF(C799="","",IF(COUNTIFS(Parametry!$C$54:$C$113,E799)=1,INDEX(Parametry!$D$54:$D$113,MATCH(E799,Parametry!$C$54:$C$113,0)),""))</f>
        <v/>
      </c>
      <c r="M799" s="7">
        <f t="shared" si="36"/>
        <v>0</v>
      </c>
      <c r="N799" s="13">
        <f>IF(AND(ISNUMBER(D799),ISNUMBER(Parametry!$G$6)),IF(AND(YEAR(D799)=Parametry!$G$6,M799&lt;=Parametry!$G$7),1,0),0)</f>
        <v>0</v>
      </c>
      <c r="O799" s="13">
        <f>IF(C799="",IF(COUNTA(D799:J799)&gt;0,1,0),IF(OR(COUNTIFS($C$9:$C$1008,C799)&lt;&gt;1,NOT(ISNUMBER(D799)),NOT(ISNUMBER(I799)),L799="",AND(F799&lt;&gt;"",COUNTIFS(Umowy!$C$9:$C$108,F799,Umowy!$D$9:$D$108,L799)&lt;&gt;1)),1,0))</f>
        <v>0</v>
      </c>
      <c r="P799" s="7" t="str">
        <f t="shared" si="37"/>
        <v/>
      </c>
      <c r="Q799" s="7" t="str">
        <f t="shared" si="38"/>
        <v/>
      </c>
    </row>
    <row r="800" spans="1:17" ht="24" customHeight="1">
      <c r="A800" s="7"/>
      <c r="B800" s="7"/>
      <c r="C800" s="3"/>
      <c r="D800" s="2"/>
      <c r="E800" s="3"/>
      <c r="F800" s="3"/>
      <c r="G800" s="3"/>
      <c r="H800" s="3"/>
      <c r="I800" s="6"/>
      <c r="J800" s="3"/>
      <c r="K800" s="7"/>
      <c r="L800" s="13" t="str">
        <f>IF(C800="","",IF(COUNTIFS(Parametry!$C$54:$C$113,E800)=1,INDEX(Parametry!$D$54:$D$113,MATCH(E800,Parametry!$C$54:$C$113,0)),""))</f>
        <v/>
      </c>
      <c r="M800" s="7">
        <f t="shared" si="36"/>
        <v>0</v>
      </c>
      <c r="N800" s="13">
        <f>IF(AND(ISNUMBER(D800),ISNUMBER(Parametry!$G$6)),IF(AND(YEAR(D800)=Parametry!$G$6,M800&lt;=Parametry!$G$7),1,0),0)</f>
        <v>0</v>
      </c>
      <c r="O800" s="13">
        <f>IF(C800="",IF(COUNTA(D800:J800)&gt;0,1,0),IF(OR(COUNTIFS($C$9:$C$1008,C800)&lt;&gt;1,NOT(ISNUMBER(D800)),NOT(ISNUMBER(I800)),L800="",AND(F800&lt;&gt;"",COUNTIFS(Umowy!$C$9:$C$108,F800,Umowy!$D$9:$D$108,L800)&lt;&gt;1)),1,0))</f>
        <v>0</v>
      </c>
      <c r="P800" s="7" t="str">
        <f t="shared" si="37"/>
        <v/>
      </c>
      <c r="Q800" s="7" t="str">
        <f t="shared" si="38"/>
        <v/>
      </c>
    </row>
    <row r="801" spans="1:17" ht="24" customHeight="1">
      <c r="A801" s="7"/>
      <c r="B801" s="7"/>
      <c r="C801" s="3"/>
      <c r="D801" s="2"/>
      <c r="E801" s="3"/>
      <c r="F801" s="3"/>
      <c r="G801" s="3"/>
      <c r="H801" s="3"/>
      <c r="I801" s="6"/>
      <c r="J801" s="3"/>
      <c r="K801" s="7"/>
      <c r="L801" s="13" t="str">
        <f>IF(C801="","",IF(COUNTIFS(Parametry!$C$54:$C$113,E801)=1,INDEX(Parametry!$D$54:$D$113,MATCH(E801,Parametry!$C$54:$C$113,0)),""))</f>
        <v/>
      </c>
      <c r="M801" s="7">
        <f t="shared" si="36"/>
        <v>0</v>
      </c>
      <c r="N801" s="13">
        <f>IF(AND(ISNUMBER(D801),ISNUMBER(Parametry!$G$6)),IF(AND(YEAR(D801)=Parametry!$G$6,M801&lt;=Parametry!$G$7),1,0),0)</f>
        <v>0</v>
      </c>
      <c r="O801" s="13">
        <f>IF(C801="",IF(COUNTA(D801:J801)&gt;0,1,0),IF(OR(COUNTIFS($C$9:$C$1008,C801)&lt;&gt;1,NOT(ISNUMBER(D801)),NOT(ISNUMBER(I801)),L801="",AND(F801&lt;&gt;"",COUNTIFS(Umowy!$C$9:$C$108,F801,Umowy!$D$9:$D$108,L801)&lt;&gt;1)),1,0))</f>
        <v>0</v>
      </c>
      <c r="P801" s="7" t="str">
        <f t="shared" si="37"/>
        <v/>
      </c>
      <c r="Q801" s="7" t="str">
        <f t="shared" si="38"/>
        <v/>
      </c>
    </row>
    <row r="802" spans="1:17" ht="24" customHeight="1">
      <c r="A802" s="7"/>
      <c r="B802" s="7"/>
      <c r="C802" s="3"/>
      <c r="D802" s="2"/>
      <c r="E802" s="3"/>
      <c r="F802" s="3"/>
      <c r="G802" s="3"/>
      <c r="H802" s="3"/>
      <c r="I802" s="6"/>
      <c r="J802" s="3"/>
      <c r="K802" s="7"/>
      <c r="L802" s="13" t="str">
        <f>IF(C802="","",IF(COUNTIFS(Parametry!$C$54:$C$113,E802)=1,INDEX(Parametry!$D$54:$D$113,MATCH(E802,Parametry!$C$54:$C$113,0)),""))</f>
        <v/>
      </c>
      <c r="M802" s="7">
        <f t="shared" si="36"/>
        <v>0</v>
      </c>
      <c r="N802" s="13">
        <f>IF(AND(ISNUMBER(D802),ISNUMBER(Parametry!$G$6)),IF(AND(YEAR(D802)=Parametry!$G$6,M802&lt;=Parametry!$G$7),1,0),0)</f>
        <v>0</v>
      </c>
      <c r="O802" s="13">
        <f>IF(C802="",IF(COUNTA(D802:J802)&gt;0,1,0),IF(OR(COUNTIFS($C$9:$C$1008,C802)&lt;&gt;1,NOT(ISNUMBER(D802)),NOT(ISNUMBER(I802)),L802="",AND(F802&lt;&gt;"",COUNTIFS(Umowy!$C$9:$C$108,F802,Umowy!$D$9:$D$108,L802)&lt;&gt;1)),1,0))</f>
        <v>0</v>
      </c>
      <c r="P802" s="7" t="str">
        <f t="shared" si="37"/>
        <v/>
      </c>
      <c r="Q802" s="7" t="str">
        <f t="shared" si="38"/>
        <v/>
      </c>
    </row>
    <row r="803" spans="1:17" ht="24" customHeight="1">
      <c r="A803" s="7"/>
      <c r="B803" s="7"/>
      <c r="C803" s="3"/>
      <c r="D803" s="2"/>
      <c r="E803" s="3"/>
      <c r="F803" s="3"/>
      <c r="G803" s="3"/>
      <c r="H803" s="3"/>
      <c r="I803" s="6"/>
      <c r="J803" s="3"/>
      <c r="K803" s="7"/>
      <c r="L803" s="13" t="str">
        <f>IF(C803="","",IF(COUNTIFS(Parametry!$C$54:$C$113,E803)=1,INDEX(Parametry!$D$54:$D$113,MATCH(E803,Parametry!$C$54:$C$113,0)),""))</f>
        <v/>
      </c>
      <c r="M803" s="7">
        <f t="shared" si="36"/>
        <v>0</v>
      </c>
      <c r="N803" s="13">
        <f>IF(AND(ISNUMBER(D803),ISNUMBER(Parametry!$G$6)),IF(AND(YEAR(D803)=Parametry!$G$6,M803&lt;=Parametry!$G$7),1,0),0)</f>
        <v>0</v>
      </c>
      <c r="O803" s="13">
        <f>IF(C803="",IF(COUNTA(D803:J803)&gt;0,1,0),IF(OR(COUNTIFS($C$9:$C$1008,C803)&lt;&gt;1,NOT(ISNUMBER(D803)),NOT(ISNUMBER(I803)),L803="",AND(F803&lt;&gt;"",COUNTIFS(Umowy!$C$9:$C$108,F803,Umowy!$D$9:$D$108,L803)&lt;&gt;1)),1,0))</f>
        <v>0</v>
      </c>
      <c r="P803" s="7" t="str">
        <f t="shared" si="37"/>
        <v/>
      </c>
      <c r="Q803" s="7" t="str">
        <f t="shared" si="38"/>
        <v/>
      </c>
    </row>
    <row r="804" spans="1:17" ht="24" customHeight="1">
      <c r="A804" s="7"/>
      <c r="B804" s="7"/>
      <c r="C804" s="3"/>
      <c r="D804" s="2"/>
      <c r="E804" s="3"/>
      <c r="F804" s="3"/>
      <c r="G804" s="3"/>
      <c r="H804" s="3"/>
      <c r="I804" s="6"/>
      <c r="J804" s="3"/>
      <c r="K804" s="7"/>
      <c r="L804" s="13" t="str">
        <f>IF(C804="","",IF(COUNTIFS(Parametry!$C$54:$C$113,E804)=1,INDEX(Parametry!$D$54:$D$113,MATCH(E804,Parametry!$C$54:$C$113,0)),""))</f>
        <v/>
      </c>
      <c r="M804" s="7">
        <f t="shared" si="36"/>
        <v>0</v>
      </c>
      <c r="N804" s="13">
        <f>IF(AND(ISNUMBER(D804),ISNUMBER(Parametry!$G$6)),IF(AND(YEAR(D804)=Parametry!$G$6,M804&lt;=Parametry!$G$7),1,0),0)</f>
        <v>0</v>
      </c>
      <c r="O804" s="13">
        <f>IF(C804="",IF(COUNTA(D804:J804)&gt;0,1,0),IF(OR(COUNTIFS($C$9:$C$1008,C804)&lt;&gt;1,NOT(ISNUMBER(D804)),NOT(ISNUMBER(I804)),L804="",AND(F804&lt;&gt;"",COUNTIFS(Umowy!$C$9:$C$108,F804,Umowy!$D$9:$D$108,L804)&lt;&gt;1)),1,0))</f>
        <v>0</v>
      </c>
      <c r="P804" s="7" t="str">
        <f t="shared" si="37"/>
        <v/>
      </c>
      <c r="Q804" s="7" t="str">
        <f t="shared" si="38"/>
        <v/>
      </c>
    </row>
    <row r="805" spans="1:17" ht="24" customHeight="1">
      <c r="A805" s="7"/>
      <c r="B805" s="7"/>
      <c r="C805" s="3"/>
      <c r="D805" s="2"/>
      <c r="E805" s="3"/>
      <c r="F805" s="3"/>
      <c r="G805" s="3"/>
      <c r="H805" s="3"/>
      <c r="I805" s="6"/>
      <c r="J805" s="3"/>
      <c r="K805" s="7"/>
      <c r="L805" s="13" t="str">
        <f>IF(C805="","",IF(COUNTIFS(Parametry!$C$54:$C$113,E805)=1,INDEX(Parametry!$D$54:$D$113,MATCH(E805,Parametry!$C$54:$C$113,0)),""))</f>
        <v/>
      </c>
      <c r="M805" s="7">
        <f t="shared" si="36"/>
        <v>0</v>
      </c>
      <c r="N805" s="13">
        <f>IF(AND(ISNUMBER(D805),ISNUMBER(Parametry!$G$6)),IF(AND(YEAR(D805)=Parametry!$G$6,M805&lt;=Parametry!$G$7),1,0),0)</f>
        <v>0</v>
      </c>
      <c r="O805" s="13">
        <f>IF(C805="",IF(COUNTA(D805:J805)&gt;0,1,0),IF(OR(COUNTIFS($C$9:$C$1008,C805)&lt;&gt;1,NOT(ISNUMBER(D805)),NOT(ISNUMBER(I805)),L805="",AND(F805&lt;&gt;"",COUNTIFS(Umowy!$C$9:$C$108,F805,Umowy!$D$9:$D$108,L805)&lt;&gt;1)),1,0))</f>
        <v>0</v>
      </c>
      <c r="P805" s="7" t="str">
        <f t="shared" si="37"/>
        <v/>
      </c>
      <c r="Q805" s="7" t="str">
        <f t="shared" si="38"/>
        <v/>
      </c>
    </row>
    <row r="806" spans="1:17" ht="24" customHeight="1">
      <c r="A806" s="7"/>
      <c r="B806" s="7"/>
      <c r="C806" s="3"/>
      <c r="D806" s="2"/>
      <c r="E806" s="3"/>
      <c r="F806" s="3"/>
      <c r="G806" s="3"/>
      <c r="H806" s="3"/>
      <c r="I806" s="6"/>
      <c r="J806" s="3"/>
      <c r="K806" s="7"/>
      <c r="L806" s="13" t="str">
        <f>IF(C806="","",IF(COUNTIFS(Parametry!$C$54:$C$113,E806)=1,INDEX(Parametry!$D$54:$D$113,MATCH(E806,Parametry!$C$54:$C$113,0)),""))</f>
        <v/>
      </c>
      <c r="M806" s="7">
        <f t="shared" si="36"/>
        <v>0</v>
      </c>
      <c r="N806" s="13">
        <f>IF(AND(ISNUMBER(D806),ISNUMBER(Parametry!$G$6)),IF(AND(YEAR(D806)=Parametry!$G$6,M806&lt;=Parametry!$G$7),1,0),0)</f>
        <v>0</v>
      </c>
      <c r="O806" s="13">
        <f>IF(C806="",IF(COUNTA(D806:J806)&gt;0,1,0),IF(OR(COUNTIFS($C$9:$C$1008,C806)&lt;&gt;1,NOT(ISNUMBER(D806)),NOT(ISNUMBER(I806)),L806="",AND(F806&lt;&gt;"",COUNTIFS(Umowy!$C$9:$C$108,F806,Umowy!$D$9:$D$108,L806)&lt;&gt;1)),1,0))</f>
        <v>0</v>
      </c>
      <c r="P806" s="7" t="str">
        <f t="shared" si="37"/>
        <v/>
      </c>
      <c r="Q806" s="7" t="str">
        <f t="shared" si="38"/>
        <v/>
      </c>
    </row>
    <row r="807" spans="1:17" ht="24" customHeight="1">
      <c r="A807" s="7"/>
      <c r="B807" s="7"/>
      <c r="C807" s="3"/>
      <c r="D807" s="2"/>
      <c r="E807" s="3"/>
      <c r="F807" s="3"/>
      <c r="G807" s="3"/>
      <c r="H807" s="3"/>
      <c r="I807" s="6"/>
      <c r="J807" s="3"/>
      <c r="K807" s="7"/>
      <c r="L807" s="13" t="str">
        <f>IF(C807="","",IF(COUNTIFS(Parametry!$C$54:$C$113,E807)=1,INDEX(Parametry!$D$54:$D$113,MATCH(E807,Parametry!$C$54:$C$113,0)),""))</f>
        <v/>
      </c>
      <c r="M807" s="7">
        <f t="shared" si="36"/>
        <v>0</v>
      </c>
      <c r="N807" s="13">
        <f>IF(AND(ISNUMBER(D807),ISNUMBER(Parametry!$G$6)),IF(AND(YEAR(D807)=Parametry!$G$6,M807&lt;=Parametry!$G$7),1,0),0)</f>
        <v>0</v>
      </c>
      <c r="O807" s="13">
        <f>IF(C807="",IF(COUNTA(D807:J807)&gt;0,1,0),IF(OR(COUNTIFS($C$9:$C$1008,C807)&lt;&gt;1,NOT(ISNUMBER(D807)),NOT(ISNUMBER(I807)),L807="",AND(F807&lt;&gt;"",COUNTIFS(Umowy!$C$9:$C$108,F807,Umowy!$D$9:$D$108,L807)&lt;&gt;1)),1,0))</f>
        <v>0</v>
      </c>
      <c r="P807" s="7" t="str">
        <f t="shared" si="37"/>
        <v/>
      </c>
      <c r="Q807" s="7" t="str">
        <f t="shared" si="38"/>
        <v/>
      </c>
    </row>
    <row r="808" spans="1:17" ht="24" customHeight="1">
      <c r="A808" s="7"/>
      <c r="B808" s="7"/>
      <c r="C808" s="3"/>
      <c r="D808" s="2"/>
      <c r="E808" s="3"/>
      <c r="F808" s="3"/>
      <c r="G808" s="3"/>
      <c r="H808" s="3"/>
      <c r="I808" s="6"/>
      <c r="J808" s="3"/>
      <c r="K808" s="7"/>
      <c r="L808" s="13" t="str">
        <f>IF(C808="","",IF(COUNTIFS(Parametry!$C$54:$C$113,E808)=1,INDEX(Parametry!$D$54:$D$113,MATCH(E808,Parametry!$C$54:$C$113,0)),""))</f>
        <v/>
      </c>
      <c r="M808" s="7">
        <f t="shared" si="36"/>
        <v>0</v>
      </c>
      <c r="N808" s="13">
        <f>IF(AND(ISNUMBER(D808),ISNUMBER(Parametry!$G$6)),IF(AND(YEAR(D808)=Parametry!$G$6,M808&lt;=Parametry!$G$7),1,0),0)</f>
        <v>0</v>
      </c>
      <c r="O808" s="13">
        <f>IF(C808="",IF(COUNTA(D808:J808)&gt;0,1,0),IF(OR(COUNTIFS($C$9:$C$1008,C808)&lt;&gt;1,NOT(ISNUMBER(D808)),NOT(ISNUMBER(I808)),L808="",AND(F808&lt;&gt;"",COUNTIFS(Umowy!$C$9:$C$108,F808,Umowy!$D$9:$D$108,L808)&lt;&gt;1)),1,0))</f>
        <v>0</v>
      </c>
      <c r="P808" s="7" t="str">
        <f t="shared" si="37"/>
        <v/>
      </c>
      <c r="Q808" s="7" t="str">
        <f t="shared" si="38"/>
        <v/>
      </c>
    </row>
    <row r="809" spans="1:17" ht="24" customHeight="1">
      <c r="A809" s="7"/>
      <c r="B809" s="7"/>
      <c r="C809" s="3"/>
      <c r="D809" s="2"/>
      <c r="E809" s="3"/>
      <c r="F809" s="3"/>
      <c r="G809" s="3"/>
      <c r="H809" s="3"/>
      <c r="I809" s="6"/>
      <c r="J809" s="3"/>
      <c r="K809" s="7"/>
      <c r="L809" s="13" t="str">
        <f>IF(C809="","",IF(COUNTIFS(Parametry!$C$54:$C$113,E809)=1,INDEX(Parametry!$D$54:$D$113,MATCH(E809,Parametry!$C$54:$C$113,0)),""))</f>
        <v/>
      </c>
      <c r="M809" s="7">
        <f t="shared" si="36"/>
        <v>0</v>
      </c>
      <c r="N809" s="13">
        <f>IF(AND(ISNUMBER(D809),ISNUMBER(Parametry!$G$6)),IF(AND(YEAR(D809)=Parametry!$G$6,M809&lt;=Parametry!$G$7),1,0),0)</f>
        <v>0</v>
      </c>
      <c r="O809" s="13">
        <f>IF(C809="",IF(COUNTA(D809:J809)&gt;0,1,0),IF(OR(COUNTIFS($C$9:$C$1008,C809)&lt;&gt;1,NOT(ISNUMBER(D809)),NOT(ISNUMBER(I809)),L809="",AND(F809&lt;&gt;"",COUNTIFS(Umowy!$C$9:$C$108,F809,Umowy!$D$9:$D$108,L809)&lt;&gt;1)),1,0))</f>
        <v>0</v>
      </c>
      <c r="P809" s="7" t="str">
        <f t="shared" si="37"/>
        <v/>
      </c>
      <c r="Q809" s="7" t="str">
        <f t="shared" si="38"/>
        <v/>
      </c>
    </row>
    <row r="810" spans="1:17" ht="24" customHeight="1">
      <c r="A810" s="7"/>
      <c r="B810" s="7"/>
      <c r="C810" s="3"/>
      <c r="D810" s="2"/>
      <c r="E810" s="3"/>
      <c r="F810" s="3"/>
      <c r="G810" s="3"/>
      <c r="H810" s="3"/>
      <c r="I810" s="6"/>
      <c r="J810" s="3"/>
      <c r="K810" s="7"/>
      <c r="L810" s="13" t="str">
        <f>IF(C810="","",IF(COUNTIFS(Parametry!$C$54:$C$113,E810)=1,INDEX(Parametry!$D$54:$D$113,MATCH(E810,Parametry!$C$54:$C$113,0)),""))</f>
        <v/>
      </c>
      <c r="M810" s="7">
        <f t="shared" si="36"/>
        <v>0</v>
      </c>
      <c r="N810" s="13">
        <f>IF(AND(ISNUMBER(D810),ISNUMBER(Parametry!$G$6)),IF(AND(YEAR(D810)=Parametry!$G$6,M810&lt;=Parametry!$G$7),1,0),0)</f>
        <v>0</v>
      </c>
      <c r="O810" s="13">
        <f>IF(C810="",IF(COUNTA(D810:J810)&gt;0,1,0),IF(OR(COUNTIFS($C$9:$C$1008,C810)&lt;&gt;1,NOT(ISNUMBER(D810)),NOT(ISNUMBER(I810)),L810="",AND(F810&lt;&gt;"",COUNTIFS(Umowy!$C$9:$C$108,F810,Umowy!$D$9:$D$108,L810)&lt;&gt;1)),1,0))</f>
        <v>0</v>
      </c>
      <c r="P810" s="7" t="str">
        <f t="shared" si="37"/>
        <v/>
      </c>
      <c r="Q810" s="7" t="str">
        <f t="shared" si="38"/>
        <v/>
      </c>
    </row>
    <row r="811" spans="1:17" ht="24" customHeight="1">
      <c r="A811" s="7"/>
      <c r="B811" s="7"/>
      <c r="C811" s="3"/>
      <c r="D811" s="2"/>
      <c r="E811" s="3"/>
      <c r="F811" s="3"/>
      <c r="G811" s="3"/>
      <c r="H811" s="3"/>
      <c r="I811" s="6"/>
      <c r="J811" s="3"/>
      <c r="K811" s="7"/>
      <c r="L811" s="13" t="str">
        <f>IF(C811="","",IF(COUNTIFS(Parametry!$C$54:$C$113,E811)=1,INDEX(Parametry!$D$54:$D$113,MATCH(E811,Parametry!$C$54:$C$113,0)),""))</f>
        <v/>
      </c>
      <c r="M811" s="7">
        <f t="shared" si="36"/>
        <v>0</v>
      </c>
      <c r="N811" s="13">
        <f>IF(AND(ISNUMBER(D811),ISNUMBER(Parametry!$G$6)),IF(AND(YEAR(D811)=Parametry!$G$6,M811&lt;=Parametry!$G$7),1,0),0)</f>
        <v>0</v>
      </c>
      <c r="O811" s="13">
        <f>IF(C811="",IF(COUNTA(D811:J811)&gt;0,1,0),IF(OR(COUNTIFS($C$9:$C$1008,C811)&lt;&gt;1,NOT(ISNUMBER(D811)),NOT(ISNUMBER(I811)),L811="",AND(F811&lt;&gt;"",COUNTIFS(Umowy!$C$9:$C$108,F811,Umowy!$D$9:$D$108,L811)&lt;&gt;1)),1,0))</f>
        <v>0</v>
      </c>
      <c r="P811" s="7" t="str">
        <f t="shared" si="37"/>
        <v/>
      </c>
      <c r="Q811" s="7" t="str">
        <f t="shared" si="38"/>
        <v/>
      </c>
    </row>
    <row r="812" spans="1:17" ht="24" customHeight="1">
      <c r="A812" s="7"/>
      <c r="B812" s="7"/>
      <c r="C812" s="3"/>
      <c r="D812" s="2"/>
      <c r="E812" s="3"/>
      <c r="F812" s="3"/>
      <c r="G812" s="3"/>
      <c r="H812" s="3"/>
      <c r="I812" s="6"/>
      <c r="J812" s="3"/>
      <c r="K812" s="7"/>
      <c r="L812" s="13" t="str">
        <f>IF(C812="","",IF(COUNTIFS(Parametry!$C$54:$C$113,E812)=1,INDEX(Parametry!$D$54:$D$113,MATCH(E812,Parametry!$C$54:$C$113,0)),""))</f>
        <v/>
      </c>
      <c r="M812" s="7">
        <f t="shared" si="36"/>
        <v>0</v>
      </c>
      <c r="N812" s="13">
        <f>IF(AND(ISNUMBER(D812),ISNUMBER(Parametry!$G$6)),IF(AND(YEAR(D812)=Parametry!$G$6,M812&lt;=Parametry!$G$7),1,0),0)</f>
        <v>0</v>
      </c>
      <c r="O812" s="13">
        <f>IF(C812="",IF(COUNTA(D812:J812)&gt;0,1,0),IF(OR(COUNTIFS($C$9:$C$1008,C812)&lt;&gt;1,NOT(ISNUMBER(D812)),NOT(ISNUMBER(I812)),L812="",AND(F812&lt;&gt;"",COUNTIFS(Umowy!$C$9:$C$108,F812,Umowy!$D$9:$D$108,L812)&lt;&gt;1)),1,0))</f>
        <v>0</v>
      </c>
      <c r="P812" s="7" t="str">
        <f t="shared" si="37"/>
        <v/>
      </c>
      <c r="Q812" s="7" t="str">
        <f t="shared" si="38"/>
        <v/>
      </c>
    </row>
    <row r="813" spans="1:17" ht="24" customHeight="1">
      <c r="A813" s="7"/>
      <c r="B813" s="7"/>
      <c r="C813" s="3"/>
      <c r="D813" s="2"/>
      <c r="E813" s="3"/>
      <c r="F813" s="3"/>
      <c r="G813" s="3"/>
      <c r="H813" s="3"/>
      <c r="I813" s="6"/>
      <c r="J813" s="3"/>
      <c r="K813" s="7"/>
      <c r="L813" s="13" t="str">
        <f>IF(C813="","",IF(COUNTIFS(Parametry!$C$54:$C$113,E813)=1,INDEX(Parametry!$D$54:$D$113,MATCH(E813,Parametry!$C$54:$C$113,0)),""))</f>
        <v/>
      </c>
      <c r="M813" s="7">
        <f t="shared" si="36"/>
        <v>0</v>
      </c>
      <c r="N813" s="13">
        <f>IF(AND(ISNUMBER(D813),ISNUMBER(Parametry!$G$6)),IF(AND(YEAR(D813)=Parametry!$G$6,M813&lt;=Parametry!$G$7),1,0),0)</f>
        <v>0</v>
      </c>
      <c r="O813" s="13">
        <f>IF(C813="",IF(COUNTA(D813:J813)&gt;0,1,0),IF(OR(COUNTIFS($C$9:$C$1008,C813)&lt;&gt;1,NOT(ISNUMBER(D813)),NOT(ISNUMBER(I813)),L813="",AND(F813&lt;&gt;"",COUNTIFS(Umowy!$C$9:$C$108,F813,Umowy!$D$9:$D$108,L813)&lt;&gt;1)),1,0))</f>
        <v>0</v>
      </c>
      <c r="P813" s="7" t="str">
        <f t="shared" si="37"/>
        <v/>
      </c>
      <c r="Q813" s="7" t="str">
        <f t="shared" si="38"/>
        <v/>
      </c>
    </row>
    <row r="814" spans="1:17" ht="24" customHeight="1">
      <c r="A814" s="7"/>
      <c r="B814" s="7"/>
      <c r="C814" s="3"/>
      <c r="D814" s="2"/>
      <c r="E814" s="3"/>
      <c r="F814" s="3"/>
      <c r="G814" s="3"/>
      <c r="H814" s="3"/>
      <c r="I814" s="6"/>
      <c r="J814" s="3"/>
      <c r="K814" s="7"/>
      <c r="L814" s="13" t="str">
        <f>IF(C814="","",IF(COUNTIFS(Parametry!$C$54:$C$113,E814)=1,INDEX(Parametry!$D$54:$D$113,MATCH(E814,Parametry!$C$54:$C$113,0)),""))</f>
        <v/>
      </c>
      <c r="M814" s="7">
        <f t="shared" si="36"/>
        <v>0</v>
      </c>
      <c r="N814" s="13">
        <f>IF(AND(ISNUMBER(D814),ISNUMBER(Parametry!$G$6)),IF(AND(YEAR(D814)=Parametry!$G$6,M814&lt;=Parametry!$G$7),1,0),0)</f>
        <v>0</v>
      </c>
      <c r="O814" s="13">
        <f>IF(C814="",IF(COUNTA(D814:J814)&gt;0,1,0),IF(OR(COUNTIFS($C$9:$C$1008,C814)&lt;&gt;1,NOT(ISNUMBER(D814)),NOT(ISNUMBER(I814)),L814="",AND(F814&lt;&gt;"",COUNTIFS(Umowy!$C$9:$C$108,F814,Umowy!$D$9:$D$108,L814)&lt;&gt;1)),1,0))</f>
        <v>0</v>
      </c>
      <c r="P814" s="7" t="str">
        <f t="shared" si="37"/>
        <v/>
      </c>
      <c r="Q814" s="7" t="str">
        <f t="shared" si="38"/>
        <v/>
      </c>
    </row>
    <row r="815" spans="1:17" ht="24" customHeight="1">
      <c r="A815" s="7"/>
      <c r="B815" s="7"/>
      <c r="C815" s="3"/>
      <c r="D815" s="2"/>
      <c r="E815" s="3"/>
      <c r="F815" s="3"/>
      <c r="G815" s="3"/>
      <c r="H815" s="3"/>
      <c r="I815" s="6"/>
      <c r="J815" s="3"/>
      <c r="K815" s="7"/>
      <c r="L815" s="13" t="str">
        <f>IF(C815="","",IF(COUNTIFS(Parametry!$C$54:$C$113,E815)=1,INDEX(Parametry!$D$54:$D$113,MATCH(E815,Parametry!$C$54:$C$113,0)),""))</f>
        <v/>
      </c>
      <c r="M815" s="7">
        <f t="shared" si="36"/>
        <v>0</v>
      </c>
      <c r="N815" s="13">
        <f>IF(AND(ISNUMBER(D815),ISNUMBER(Parametry!$G$6)),IF(AND(YEAR(D815)=Parametry!$G$6,M815&lt;=Parametry!$G$7),1,0),0)</f>
        <v>0</v>
      </c>
      <c r="O815" s="13">
        <f>IF(C815="",IF(COUNTA(D815:J815)&gt;0,1,0),IF(OR(COUNTIFS($C$9:$C$1008,C815)&lt;&gt;1,NOT(ISNUMBER(D815)),NOT(ISNUMBER(I815)),L815="",AND(F815&lt;&gt;"",COUNTIFS(Umowy!$C$9:$C$108,F815,Umowy!$D$9:$D$108,L815)&lt;&gt;1)),1,0))</f>
        <v>0</v>
      </c>
      <c r="P815" s="7" t="str">
        <f t="shared" si="37"/>
        <v/>
      </c>
      <c r="Q815" s="7" t="str">
        <f t="shared" si="38"/>
        <v/>
      </c>
    </row>
    <row r="816" spans="1:17" ht="24" customHeight="1">
      <c r="A816" s="7"/>
      <c r="B816" s="7"/>
      <c r="C816" s="3"/>
      <c r="D816" s="2"/>
      <c r="E816" s="3"/>
      <c r="F816" s="3"/>
      <c r="G816" s="3"/>
      <c r="H816" s="3"/>
      <c r="I816" s="6"/>
      <c r="J816" s="3"/>
      <c r="K816" s="7"/>
      <c r="L816" s="13" t="str">
        <f>IF(C816="","",IF(COUNTIFS(Parametry!$C$54:$C$113,E816)=1,INDEX(Parametry!$D$54:$D$113,MATCH(E816,Parametry!$C$54:$C$113,0)),""))</f>
        <v/>
      </c>
      <c r="M816" s="7">
        <f t="shared" si="36"/>
        <v>0</v>
      </c>
      <c r="N816" s="13">
        <f>IF(AND(ISNUMBER(D816),ISNUMBER(Parametry!$G$6)),IF(AND(YEAR(D816)=Parametry!$G$6,M816&lt;=Parametry!$G$7),1,0),0)</f>
        <v>0</v>
      </c>
      <c r="O816" s="13">
        <f>IF(C816="",IF(COUNTA(D816:J816)&gt;0,1,0),IF(OR(COUNTIFS($C$9:$C$1008,C816)&lt;&gt;1,NOT(ISNUMBER(D816)),NOT(ISNUMBER(I816)),L816="",AND(F816&lt;&gt;"",COUNTIFS(Umowy!$C$9:$C$108,F816,Umowy!$D$9:$D$108,L816)&lt;&gt;1)),1,0))</f>
        <v>0</v>
      </c>
      <c r="P816" s="7" t="str">
        <f t="shared" si="37"/>
        <v/>
      </c>
      <c r="Q816" s="7" t="str">
        <f t="shared" si="38"/>
        <v/>
      </c>
    </row>
    <row r="817" spans="1:17" ht="24" customHeight="1">
      <c r="A817" s="7"/>
      <c r="B817" s="7"/>
      <c r="C817" s="3"/>
      <c r="D817" s="2"/>
      <c r="E817" s="3"/>
      <c r="F817" s="3"/>
      <c r="G817" s="3"/>
      <c r="H817" s="3"/>
      <c r="I817" s="6"/>
      <c r="J817" s="3"/>
      <c r="K817" s="7"/>
      <c r="L817" s="13" t="str">
        <f>IF(C817="","",IF(COUNTIFS(Parametry!$C$54:$C$113,E817)=1,INDEX(Parametry!$D$54:$D$113,MATCH(E817,Parametry!$C$54:$C$113,0)),""))</f>
        <v/>
      </c>
      <c r="M817" s="7">
        <f t="shared" si="36"/>
        <v>0</v>
      </c>
      <c r="N817" s="13">
        <f>IF(AND(ISNUMBER(D817),ISNUMBER(Parametry!$G$6)),IF(AND(YEAR(D817)=Parametry!$G$6,M817&lt;=Parametry!$G$7),1,0),0)</f>
        <v>0</v>
      </c>
      <c r="O817" s="13">
        <f>IF(C817="",IF(COUNTA(D817:J817)&gt;0,1,0),IF(OR(COUNTIFS($C$9:$C$1008,C817)&lt;&gt;1,NOT(ISNUMBER(D817)),NOT(ISNUMBER(I817)),L817="",AND(F817&lt;&gt;"",COUNTIFS(Umowy!$C$9:$C$108,F817,Umowy!$D$9:$D$108,L817)&lt;&gt;1)),1,0))</f>
        <v>0</v>
      </c>
      <c r="P817" s="7" t="str">
        <f t="shared" si="37"/>
        <v/>
      </c>
      <c r="Q817" s="7" t="str">
        <f t="shared" si="38"/>
        <v/>
      </c>
    </row>
    <row r="818" spans="1:17" ht="24" customHeight="1">
      <c r="A818" s="7"/>
      <c r="B818" s="7"/>
      <c r="C818" s="3"/>
      <c r="D818" s="2"/>
      <c r="E818" s="3"/>
      <c r="F818" s="3"/>
      <c r="G818" s="3"/>
      <c r="H818" s="3"/>
      <c r="I818" s="6"/>
      <c r="J818" s="3"/>
      <c r="K818" s="7"/>
      <c r="L818" s="13" t="str">
        <f>IF(C818="","",IF(COUNTIFS(Parametry!$C$54:$C$113,E818)=1,INDEX(Parametry!$D$54:$D$113,MATCH(E818,Parametry!$C$54:$C$113,0)),""))</f>
        <v/>
      </c>
      <c r="M818" s="7">
        <f t="shared" si="36"/>
        <v>0</v>
      </c>
      <c r="N818" s="13">
        <f>IF(AND(ISNUMBER(D818),ISNUMBER(Parametry!$G$6)),IF(AND(YEAR(D818)=Parametry!$G$6,M818&lt;=Parametry!$G$7),1,0),0)</f>
        <v>0</v>
      </c>
      <c r="O818" s="13">
        <f>IF(C818="",IF(COUNTA(D818:J818)&gt;0,1,0),IF(OR(COUNTIFS($C$9:$C$1008,C818)&lt;&gt;1,NOT(ISNUMBER(D818)),NOT(ISNUMBER(I818)),L818="",AND(F818&lt;&gt;"",COUNTIFS(Umowy!$C$9:$C$108,F818,Umowy!$D$9:$D$108,L818)&lt;&gt;1)),1,0))</f>
        <v>0</v>
      </c>
      <c r="P818" s="7" t="str">
        <f t="shared" si="37"/>
        <v/>
      </c>
      <c r="Q818" s="7" t="str">
        <f t="shared" si="38"/>
        <v/>
      </c>
    </row>
    <row r="819" spans="1:17" ht="24" customHeight="1">
      <c r="A819" s="7"/>
      <c r="B819" s="7"/>
      <c r="C819" s="3"/>
      <c r="D819" s="2"/>
      <c r="E819" s="3"/>
      <c r="F819" s="3"/>
      <c r="G819" s="3"/>
      <c r="H819" s="3"/>
      <c r="I819" s="6"/>
      <c r="J819" s="3"/>
      <c r="K819" s="7"/>
      <c r="L819" s="13" t="str">
        <f>IF(C819="","",IF(COUNTIFS(Parametry!$C$54:$C$113,E819)=1,INDEX(Parametry!$D$54:$D$113,MATCH(E819,Parametry!$C$54:$C$113,0)),""))</f>
        <v/>
      </c>
      <c r="M819" s="7">
        <f t="shared" si="36"/>
        <v>0</v>
      </c>
      <c r="N819" s="13">
        <f>IF(AND(ISNUMBER(D819),ISNUMBER(Parametry!$G$6)),IF(AND(YEAR(D819)=Parametry!$G$6,M819&lt;=Parametry!$G$7),1,0),0)</f>
        <v>0</v>
      </c>
      <c r="O819" s="13">
        <f>IF(C819="",IF(COUNTA(D819:J819)&gt;0,1,0),IF(OR(COUNTIFS($C$9:$C$1008,C819)&lt;&gt;1,NOT(ISNUMBER(D819)),NOT(ISNUMBER(I819)),L819="",AND(F819&lt;&gt;"",COUNTIFS(Umowy!$C$9:$C$108,F819,Umowy!$D$9:$D$108,L819)&lt;&gt;1)),1,0))</f>
        <v>0</v>
      </c>
      <c r="P819" s="7" t="str">
        <f t="shared" si="37"/>
        <v/>
      </c>
      <c r="Q819" s="7" t="str">
        <f t="shared" si="38"/>
        <v/>
      </c>
    </row>
    <row r="820" spans="1:17" ht="24" customHeight="1">
      <c r="A820" s="7"/>
      <c r="B820" s="7"/>
      <c r="C820" s="3"/>
      <c r="D820" s="2"/>
      <c r="E820" s="3"/>
      <c r="F820" s="3"/>
      <c r="G820" s="3"/>
      <c r="H820" s="3"/>
      <c r="I820" s="6"/>
      <c r="J820" s="3"/>
      <c r="K820" s="7"/>
      <c r="L820" s="13" t="str">
        <f>IF(C820="","",IF(COUNTIFS(Parametry!$C$54:$C$113,E820)=1,INDEX(Parametry!$D$54:$D$113,MATCH(E820,Parametry!$C$54:$C$113,0)),""))</f>
        <v/>
      </c>
      <c r="M820" s="7">
        <f t="shared" si="36"/>
        <v>0</v>
      </c>
      <c r="N820" s="13">
        <f>IF(AND(ISNUMBER(D820),ISNUMBER(Parametry!$G$6)),IF(AND(YEAR(D820)=Parametry!$G$6,M820&lt;=Parametry!$G$7),1,0),0)</f>
        <v>0</v>
      </c>
      <c r="O820" s="13">
        <f>IF(C820="",IF(COUNTA(D820:J820)&gt;0,1,0),IF(OR(COUNTIFS($C$9:$C$1008,C820)&lt;&gt;1,NOT(ISNUMBER(D820)),NOT(ISNUMBER(I820)),L820="",AND(F820&lt;&gt;"",COUNTIFS(Umowy!$C$9:$C$108,F820,Umowy!$D$9:$D$108,L820)&lt;&gt;1)),1,0))</f>
        <v>0</v>
      </c>
      <c r="P820" s="7" t="str">
        <f t="shared" si="37"/>
        <v/>
      </c>
      <c r="Q820" s="7" t="str">
        <f t="shared" si="38"/>
        <v/>
      </c>
    </row>
    <row r="821" spans="1:17" ht="24" customHeight="1">
      <c r="A821" s="7"/>
      <c r="B821" s="7"/>
      <c r="C821" s="3"/>
      <c r="D821" s="2"/>
      <c r="E821" s="3"/>
      <c r="F821" s="3"/>
      <c r="G821" s="3"/>
      <c r="H821" s="3"/>
      <c r="I821" s="6"/>
      <c r="J821" s="3"/>
      <c r="K821" s="7"/>
      <c r="L821" s="13" t="str">
        <f>IF(C821="","",IF(COUNTIFS(Parametry!$C$54:$C$113,E821)=1,INDEX(Parametry!$D$54:$D$113,MATCH(E821,Parametry!$C$54:$C$113,0)),""))</f>
        <v/>
      </c>
      <c r="M821" s="7">
        <f t="shared" si="36"/>
        <v>0</v>
      </c>
      <c r="N821" s="13">
        <f>IF(AND(ISNUMBER(D821),ISNUMBER(Parametry!$G$6)),IF(AND(YEAR(D821)=Parametry!$G$6,M821&lt;=Parametry!$G$7),1,0),0)</f>
        <v>0</v>
      </c>
      <c r="O821" s="13">
        <f>IF(C821="",IF(COUNTA(D821:J821)&gt;0,1,0),IF(OR(COUNTIFS($C$9:$C$1008,C821)&lt;&gt;1,NOT(ISNUMBER(D821)),NOT(ISNUMBER(I821)),L821="",AND(F821&lt;&gt;"",COUNTIFS(Umowy!$C$9:$C$108,F821,Umowy!$D$9:$D$108,L821)&lt;&gt;1)),1,0))</f>
        <v>0</v>
      </c>
      <c r="P821" s="7" t="str">
        <f t="shared" si="37"/>
        <v/>
      </c>
      <c r="Q821" s="7" t="str">
        <f t="shared" si="38"/>
        <v/>
      </c>
    </row>
    <row r="822" spans="1:17" ht="24" customHeight="1">
      <c r="A822" s="7"/>
      <c r="B822" s="7"/>
      <c r="C822" s="3"/>
      <c r="D822" s="2"/>
      <c r="E822" s="3"/>
      <c r="F822" s="3"/>
      <c r="G822" s="3"/>
      <c r="H822" s="3"/>
      <c r="I822" s="6"/>
      <c r="J822" s="3"/>
      <c r="K822" s="7"/>
      <c r="L822" s="13" t="str">
        <f>IF(C822="","",IF(COUNTIFS(Parametry!$C$54:$C$113,E822)=1,INDEX(Parametry!$D$54:$D$113,MATCH(E822,Parametry!$C$54:$C$113,0)),""))</f>
        <v/>
      </c>
      <c r="M822" s="7">
        <f t="shared" si="36"/>
        <v>0</v>
      </c>
      <c r="N822" s="13">
        <f>IF(AND(ISNUMBER(D822),ISNUMBER(Parametry!$G$6)),IF(AND(YEAR(D822)=Parametry!$G$6,M822&lt;=Parametry!$G$7),1,0),0)</f>
        <v>0</v>
      </c>
      <c r="O822" s="13">
        <f>IF(C822="",IF(COUNTA(D822:J822)&gt;0,1,0),IF(OR(COUNTIFS($C$9:$C$1008,C822)&lt;&gt;1,NOT(ISNUMBER(D822)),NOT(ISNUMBER(I822)),L822="",AND(F822&lt;&gt;"",COUNTIFS(Umowy!$C$9:$C$108,F822,Umowy!$D$9:$D$108,L822)&lt;&gt;1)),1,0))</f>
        <v>0</v>
      </c>
      <c r="P822" s="7" t="str">
        <f t="shared" si="37"/>
        <v/>
      </c>
      <c r="Q822" s="7" t="str">
        <f t="shared" si="38"/>
        <v/>
      </c>
    </row>
    <row r="823" spans="1:17" ht="24" customHeight="1">
      <c r="A823" s="7"/>
      <c r="B823" s="7"/>
      <c r="C823" s="3"/>
      <c r="D823" s="2"/>
      <c r="E823" s="3"/>
      <c r="F823" s="3"/>
      <c r="G823" s="3"/>
      <c r="H823" s="3"/>
      <c r="I823" s="6"/>
      <c r="J823" s="3"/>
      <c r="K823" s="7"/>
      <c r="L823" s="13" t="str">
        <f>IF(C823="","",IF(COUNTIFS(Parametry!$C$54:$C$113,E823)=1,INDEX(Parametry!$D$54:$D$113,MATCH(E823,Parametry!$C$54:$C$113,0)),""))</f>
        <v/>
      </c>
      <c r="M823" s="7">
        <f t="shared" si="36"/>
        <v>0</v>
      </c>
      <c r="N823" s="13">
        <f>IF(AND(ISNUMBER(D823),ISNUMBER(Parametry!$G$6)),IF(AND(YEAR(D823)=Parametry!$G$6,M823&lt;=Parametry!$G$7),1,0),0)</f>
        <v>0</v>
      </c>
      <c r="O823" s="13">
        <f>IF(C823="",IF(COUNTA(D823:J823)&gt;0,1,0),IF(OR(COUNTIFS($C$9:$C$1008,C823)&lt;&gt;1,NOT(ISNUMBER(D823)),NOT(ISNUMBER(I823)),L823="",AND(F823&lt;&gt;"",COUNTIFS(Umowy!$C$9:$C$108,F823,Umowy!$D$9:$D$108,L823)&lt;&gt;1)),1,0))</f>
        <v>0</v>
      </c>
      <c r="P823" s="7" t="str">
        <f t="shared" si="37"/>
        <v/>
      </c>
      <c r="Q823" s="7" t="str">
        <f t="shared" si="38"/>
        <v/>
      </c>
    </row>
    <row r="824" spans="1:17" ht="24" customHeight="1">
      <c r="A824" s="7"/>
      <c r="B824" s="7"/>
      <c r="C824" s="3"/>
      <c r="D824" s="2"/>
      <c r="E824" s="3"/>
      <c r="F824" s="3"/>
      <c r="G824" s="3"/>
      <c r="H824" s="3"/>
      <c r="I824" s="6"/>
      <c r="J824" s="3"/>
      <c r="K824" s="7"/>
      <c r="L824" s="13" t="str">
        <f>IF(C824="","",IF(COUNTIFS(Parametry!$C$54:$C$113,E824)=1,INDEX(Parametry!$D$54:$D$113,MATCH(E824,Parametry!$C$54:$C$113,0)),""))</f>
        <v/>
      </c>
      <c r="M824" s="7">
        <f t="shared" si="36"/>
        <v>0</v>
      </c>
      <c r="N824" s="13">
        <f>IF(AND(ISNUMBER(D824),ISNUMBER(Parametry!$G$6)),IF(AND(YEAR(D824)=Parametry!$G$6,M824&lt;=Parametry!$G$7),1,0),0)</f>
        <v>0</v>
      </c>
      <c r="O824" s="13">
        <f>IF(C824="",IF(COUNTA(D824:J824)&gt;0,1,0),IF(OR(COUNTIFS($C$9:$C$1008,C824)&lt;&gt;1,NOT(ISNUMBER(D824)),NOT(ISNUMBER(I824)),L824="",AND(F824&lt;&gt;"",COUNTIFS(Umowy!$C$9:$C$108,F824,Umowy!$D$9:$D$108,L824)&lt;&gt;1)),1,0))</f>
        <v>0</v>
      </c>
      <c r="P824" s="7" t="str">
        <f t="shared" si="37"/>
        <v/>
      </c>
      <c r="Q824" s="7" t="str">
        <f t="shared" si="38"/>
        <v/>
      </c>
    </row>
    <row r="825" spans="1:17" ht="24" customHeight="1">
      <c r="A825" s="7"/>
      <c r="B825" s="7"/>
      <c r="C825" s="3"/>
      <c r="D825" s="2"/>
      <c r="E825" s="3"/>
      <c r="F825" s="3"/>
      <c r="G825" s="3"/>
      <c r="H825" s="3"/>
      <c r="I825" s="6"/>
      <c r="J825" s="3"/>
      <c r="K825" s="7"/>
      <c r="L825" s="13" t="str">
        <f>IF(C825="","",IF(COUNTIFS(Parametry!$C$54:$C$113,E825)=1,INDEX(Parametry!$D$54:$D$113,MATCH(E825,Parametry!$C$54:$C$113,0)),""))</f>
        <v/>
      </c>
      <c r="M825" s="7">
        <f t="shared" si="36"/>
        <v>0</v>
      </c>
      <c r="N825" s="13">
        <f>IF(AND(ISNUMBER(D825),ISNUMBER(Parametry!$G$6)),IF(AND(YEAR(D825)=Parametry!$G$6,M825&lt;=Parametry!$G$7),1,0),0)</f>
        <v>0</v>
      </c>
      <c r="O825" s="13">
        <f>IF(C825="",IF(COUNTA(D825:J825)&gt;0,1,0),IF(OR(COUNTIFS($C$9:$C$1008,C825)&lt;&gt;1,NOT(ISNUMBER(D825)),NOT(ISNUMBER(I825)),L825="",AND(F825&lt;&gt;"",COUNTIFS(Umowy!$C$9:$C$108,F825,Umowy!$D$9:$D$108,L825)&lt;&gt;1)),1,0))</f>
        <v>0</v>
      </c>
      <c r="P825" s="7" t="str">
        <f t="shared" si="37"/>
        <v/>
      </c>
      <c r="Q825" s="7" t="str">
        <f t="shared" si="38"/>
        <v/>
      </c>
    </row>
    <row r="826" spans="1:17" ht="24" customHeight="1">
      <c r="A826" s="7"/>
      <c r="B826" s="7"/>
      <c r="C826" s="3"/>
      <c r="D826" s="2"/>
      <c r="E826" s="3"/>
      <c r="F826" s="3"/>
      <c r="G826" s="3"/>
      <c r="H826" s="3"/>
      <c r="I826" s="6"/>
      <c r="J826" s="3"/>
      <c r="K826" s="7"/>
      <c r="L826" s="13" t="str">
        <f>IF(C826="","",IF(COUNTIFS(Parametry!$C$54:$C$113,E826)=1,INDEX(Parametry!$D$54:$D$113,MATCH(E826,Parametry!$C$54:$C$113,0)),""))</f>
        <v/>
      </c>
      <c r="M826" s="7">
        <f t="shared" si="36"/>
        <v>0</v>
      </c>
      <c r="N826" s="13">
        <f>IF(AND(ISNUMBER(D826),ISNUMBER(Parametry!$G$6)),IF(AND(YEAR(D826)=Parametry!$G$6,M826&lt;=Parametry!$G$7),1,0),0)</f>
        <v>0</v>
      </c>
      <c r="O826" s="13">
        <f>IF(C826="",IF(COUNTA(D826:J826)&gt;0,1,0),IF(OR(COUNTIFS($C$9:$C$1008,C826)&lt;&gt;1,NOT(ISNUMBER(D826)),NOT(ISNUMBER(I826)),L826="",AND(F826&lt;&gt;"",COUNTIFS(Umowy!$C$9:$C$108,F826,Umowy!$D$9:$D$108,L826)&lt;&gt;1)),1,0))</f>
        <v>0</v>
      </c>
      <c r="P826" s="7" t="str">
        <f t="shared" si="37"/>
        <v/>
      </c>
      <c r="Q826" s="7" t="str">
        <f t="shared" si="38"/>
        <v/>
      </c>
    </row>
    <row r="827" spans="1:17" ht="24" customHeight="1">
      <c r="A827" s="7"/>
      <c r="B827" s="7"/>
      <c r="C827" s="3"/>
      <c r="D827" s="2"/>
      <c r="E827" s="3"/>
      <c r="F827" s="3"/>
      <c r="G827" s="3"/>
      <c r="H827" s="3"/>
      <c r="I827" s="6"/>
      <c r="J827" s="3"/>
      <c r="K827" s="7"/>
      <c r="L827" s="13" t="str">
        <f>IF(C827="","",IF(COUNTIFS(Parametry!$C$54:$C$113,E827)=1,INDEX(Parametry!$D$54:$D$113,MATCH(E827,Parametry!$C$54:$C$113,0)),""))</f>
        <v/>
      </c>
      <c r="M827" s="7">
        <f t="shared" si="36"/>
        <v>0</v>
      </c>
      <c r="N827" s="13">
        <f>IF(AND(ISNUMBER(D827),ISNUMBER(Parametry!$G$6)),IF(AND(YEAR(D827)=Parametry!$G$6,M827&lt;=Parametry!$G$7),1,0),0)</f>
        <v>0</v>
      </c>
      <c r="O827" s="13">
        <f>IF(C827="",IF(COUNTA(D827:J827)&gt;0,1,0),IF(OR(COUNTIFS($C$9:$C$1008,C827)&lt;&gt;1,NOT(ISNUMBER(D827)),NOT(ISNUMBER(I827)),L827="",AND(F827&lt;&gt;"",COUNTIFS(Umowy!$C$9:$C$108,F827,Umowy!$D$9:$D$108,L827)&lt;&gt;1)),1,0))</f>
        <v>0</v>
      </c>
      <c r="P827" s="7" t="str">
        <f t="shared" si="37"/>
        <v/>
      </c>
      <c r="Q827" s="7" t="str">
        <f t="shared" si="38"/>
        <v/>
      </c>
    </row>
    <row r="828" spans="1:17" ht="24" customHeight="1">
      <c r="A828" s="7"/>
      <c r="B828" s="7"/>
      <c r="C828" s="3"/>
      <c r="D828" s="2"/>
      <c r="E828" s="3"/>
      <c r="F828" s="3"/>
      <c r="G828" s="3"/>
      <c r="H828" s="3"/>
      <c r="I828" s="6"/>
      <c r="J828" s="3"/>
      <c r="K828" s="7"/>
      <c r="L828" s="13" t="str">
        <f>IF(C828="","",IF(COUNTIFS(Parametry!$C$54:$C$113,E828)=1,INDEX(Parametry!$D$54:$D$113,MATCH(E828,Parametry!$C$54:$C$113,0)),""))</f>
        <v/>
      </c>
      <c r="M828" s="7">
        <f t="shared" si="36"/>
        <v>0</v>
      </c>
      <c r="N828" s="13">
        <f>IF(AND(ISNUMBER(D828),ISNUMBER(Parametry!$G$6)),IF(AND(YEAR(D828)=Parametry!$G$6,M828&lt;=Parametry!$G$7),1,0),0)</f>
        <v>0</v>
      </c>
      <c r="O828" s="13">
        <f>IF(C828="",IF(COUNTA(D828:J828)&gt;0,1,0),IF(OR(COUNTIFS($C$9:$C$1008,C828)&lt;&gt;1,NOT(ISNUMBER(D828)),NOT(ISNUMBER(I828)),L828="",AND(F828&lt;&gt;"",COUNTIFS(Umowy!$C$9:$C$108,F828,Umowy!$D$9:$D$108,L828)&lt;&gt;1)),1,0))</f>
        <v>0</v>
      </c>
      <c r="P828" s="7" t="str">
        <f t="shared" si="37"/>
        <v/>
      </c>
      <c r="Q828" s="7" t="str">
        <f t="shared" si="38"/>
        <v/>
      </c>
    </row>
    <row r="829" spans="1:17" ht="24" customHeight="1">
      <c r="A829" s="7"/>
      <c r="B829" s="7"/>
      <c r="C829" s="3"/>
      <c r="D829" s="2"/>
      <c r="E829" s="3"/>
      <c r="F829" s="3"/>
      <c r="G829" s="3"/>
      <c r="H829" s="3"/>
      <c r="I829" s="6"/>
      <c r="J829" s="3"/>
      <c r="K829" s="7"/>
      <c r="L829" s="13" t="str">
        <f>IF(C829="","",IF(COUNTIFS(Parametry!$C$54:$C$113,E829)=1,INDEX(Parametry!$D$54:$D$113,MATCH(E829,Parametry!$C$54:$C$113,0)),""))</f>
        <v/>
      </c>
      <c r="M829" s="7">
        <f t="shared" si="36"/>
        <v>0</v>
      </c>
      <c r="N829" s="13">
        <f>IF(AND(ISNUMBER(D829),ISNUMBER(Parametry!$G$6)),IF(AND(YEAR(D829)=Parametry!$G$6,M829&lt;=Parametry!$G$7),1,0),0)</f>
        <v>0</v>
      </c>
      <c r="O829" s="13">
        <f>IF(C829="",IF(COUNTA(D829:J829)&gt;0,1,0),IF(OR(COUNTIFS($C$9:$C$1008,C829)&lt;&gt;1,NOT(ISNUMBER(D829)),NOT(ISNUMBER(I829)),L829="",AND(F829&lt;&gt;"",COUNTIFS(Umowy!$C$9:$C$108,F829,Umowy!$D$9:$D$108,L829)&lt;&gt;1)),1,0))</f>
        <v>0</v>
      </c>
      <c r="P829" s="7" t="str">
        <f t="shared" si="37"/>
        <v/>
      </c>
      <c r="Q829" s="7" t="str">
        <f t="shared" si="38"/>
        <v/>
      </c>
    </row>
    <row r="830" spans="1:17" ht="24" customHeight="1">
      <c r="A830" s="7"/>
      <c r="B830" s="7"/>
      <c r="C830" s="3"/>
      <c r="D830" s="2"/>
      <c r="E830" s="3"/>
      <c r="F830" s="3"/>
      <c r="G830" s="3"/>
      <c r="H830" s="3"/>
      <c r="I830" s="6"/>
      <c r="J830" s="3"/>
      <c r="K830" s="7"/>
      <c r="L830" s="13" t="str">
        <f>IF(C830="","",IF(COUNTIFS(Parametry!$C$54:$C$113,E830)=1,INDEX(Parametry!$D$54:$D$113,MATCH(E830,Parametry!$C$54:$C$113,0)),""))</f>
        <v/>
      </c>
      <c r="M830" s="7">
        <f t="shared" si="36"/>
        <v>0</v>
      </c>
      <c r="N830" s="13">
        <f>IF(AND(ISNUMBER(D830),ISNUMBER(Parametry!$G$6)),IF(AND(YEAR(D830)=Parametry!$G$6,M830&lt;=Parametry!$G$7),1,0),0)</f>
        <v>0</v>
      </c>
      <c r="O830" s="13">
        <f>IF(C830="",IF(COUNTA(D830:J830)&gt;0,1,0),IF(OR(COUNTIFS($C$9:$C$1008,C830)&lt;&gt;1,NOT(ISNUMBER(D830)),NOT(ISNUMBER(I830)),L830="",AND(F830&lt;&gt;"",COUNTIFS(Umowy!$C$9:$C$108,F830,Umowy!$D$9:$D$108,L830)&lt;&gt;1)),1,0))</f>
        <v>0</v>
      </c>
      <c r="P830" s="7" t="str">
        <f t="shared" si="37"/>
        <v/>
      </c>
      <c r="Q830" s="7" t="str">
        <f t="shared" si="38"/>
        <v/>
      </c>
    </row>
    <row r="831" spans="1:17" ht="24" customHeight="1">
      <c r="A831" s="7"/>
      <c r="B831" s="7"/>
      <c r="C831" s="3"/>
      <c r="D831" s="2"/>
      <c r="E831" s="3"/>
      <c r="F831" s="3"/>
      <c r="G831" s="3"/>
      <c r="H831" s="3"/>
      <c r="I831" s="6"/>
      <c r="J831" s="3"/>
      <c r="K831" s="7"/>
      <c r="L831" s="13" t="str">
        <f>IF(C831="","",IF(COUNTIFS(Parametry!$C$54:$C$113,E831)=1,INDEX(Parametry!$D$54:$D$113,MATCH(E831,Parametry!$C$54:$C$113,0)),""))</f>
        <v/>
      </c>
      <c r="M831" s="7">
        <f t="shared" si="36"/>
        <v>0</v>
      </c>
      <c r="N831" s="13">
        <f>IF(AND(ISNUMBER(D831),ISNUMBER(Parametry!$G$6)),IF(AND(YEAR(D831)=Parametry!$G$6,M831&lt;=Parametry!$G$7),1,0),0)</f>
        <v>0</v>
      </c>
      <c r="O831" s="13">
        <f>IF(C831="",IF(COUNTA(D831:J831)&gt;0,1,0),IF(OR(COUNTIFS($C$9:$C$1008,C831)&lt;&gt;1,NOT(ISNUMBER(D831)),NOT(ISNUMBER(I831)),L831="",AND(F831&lt;&gt;"",COUNTIFS(Umowy!$C$9:$C$108,F831,Umowy!$D$9:$D$108,L831)&lt;&gt;1)),1,0))</f>
        <v>0</v>
      </c>
      <c r="P831" s="7" t="str">
        <f t="shared" si="37"/>
        <v/>
      </c>
      <c r="Q831" s="7" t="str">
        <f t="shared" si="38"/>
        <v/>
      </c>
    </row>
    <row r="832" spans="1:17" ht="24" customHeight="1">
      <c r="A832" s="7"/>
      <c r="B832" s="7"/>
      <c r="C832" s="3"/>
      <c r="D832" s="2"/>
      <c r="E832" s="3"/>
      <c r="F832" s="3"/>
      <c r="G832" s="3"/>
      <c r="H832" s="3"/>
      <c r="I832" s="6"/>
      <c r="J832" s="3"/>
      <c r="K832" s="7"/>
      <c r="L832" s="13" t="str">
        <f>IF(C832="","",IF(COUNTIFS(Parametry!$C$54:$C$113,E832)=1,INDEX(Parametry!$D$54:$D$113,MATCH(E832,Parametry!$C$54:$C$113,0)),""))</f>
        <v/>
      </c>
      <c r="M832" s="7">
        <f t="shared" si="36"/>
        <v>0</v>
      </c>
      <c r="N832" s="13">
        <f>IF(AND(ISNUMBER(D832),ISNUMBER(Parametry!$G$6)),IF(AND(YEAR(D832)=Parametry!$G$6,M832&lt;=Parametry!$G$7),1,0),0)</f>
        <v>0</v>
      </c>
      <c r="O832" s="13">
        <f>IF(C832="",IF(COUNTA(D832:J832)&gt;0,1,0),IF(OR(COUNTIFS($C$9:$C$1008,C832)&lt;&gt;1,NOT(ISNUMBER(D832)),NOT(ISNUMBER(I832)),L832="",AND(F832&lt;&gt;"",COUNTIFS(Umowy!$C$9:$C$108,F832,Umowy!$D$9:$D$108,L832)&lt;&gt;1)),1,0))</f>
        <v>0</v>
      </c>
      <c r="P832" s="7" t="str">
        <f t="shared" si="37"/>
        <v/>
      </c>
      <c r="Q832" s="7" t="str">
        <f t="shared" si="38"/>
        <v/>
      </c>
    </row>
    <row r="833" spans="1:17" ht="24" customHeight="1">
      <c r="A833" s="7"/>
      <c r="B833" s="7"/>
      <c r="C833" s="3"/>
      <c r="D833" s="2"/>
      <c r="E833" s="3"/>
      <c r="F833" s="3"/>
      <c r="G833" s="3"/>
      <c r="H833" s="3"/>
      <c r="I833" s="6"/>
      <c r="J833" s="3"/>
      <c r="K833" s="7"/>
      <c r="L833" s="13" t="str">
        <f>IF(C833="","",IF(COUNTIFS(Parametry!$C$54:$C$113,E833)=1,INDEX(Parametry!$D$54:$D$113,MATCH(E833,Parametry!$C$54:$C$113,0)),""))</f>
        <v/>
      </c>
      <c r="M833" s="7">
        <f t="shared" si="36"/>
        <v>0</v>
      </c>
      <c r="N833" s="13">
        <f>IF(AND(ISNUMBER(D833),ISNUMBER(Parametry!$G$6)),IF(AND(YEAR(D833)=Parametry!$G$6,M833&lt;=Parametry!$G$7),1,0),0)</f>
        <v>0</v>
      </c>
      <c r="O833" s="13">
        <f>IF(C833="",IF(COUNTA(D833:J833)&gt;0,1,0),IF(OR(COUNTIFS($C$9:$C$1008,C833)&lt;&gt;1,NOT(ISNUMBER(D833)),NOT(ISNUMBER(I833)),L833="",AND(F833&lt;&gt;"",COUNTIFS(Umowy!$C$9:$C$108,F833,Umowy!$D$9:$D$108,L833)&lt;&gt;1)),1,0))</f>
        <v>0</v>
      </c>
      <c r="P833" s="7" t="str">
        <f t="shared" si="37"/>
        <v/>
      </c>
      <c r="Q833" s="7" t="str">
        <f t="shared" si="38"/>
        <v/>
      </c>
    </row>
    <row r="834" spans="1:17" ht="24" customHeight="1">
      <c r="A834" s="7"/>
      <c r="B834" s="7"/>
      <c r="C834" s="3"/>
      <c r="D834" s="2"/>
      <c r="E834" s="3"/>
      <c r="F834" s="3"/>
      <c r="G834" s="3"/>
      <c r="H834" s="3"/>
      <c r="I834" s="6"/>
      <c r="J834" s="3"/>
      <c r="K834" s="7"/>
      <c r="L834" s="13" t="str">
        <f>IF(C834="","",IF(COUNTIFS(Parametry!$C$54:$C$113,E834)=1,INDEX(Parametry!$D$54:$D$113,MATCH(E834,Parametry!$C$54:$C$113,0)),""))</f>
        <v/>
      </c>
      <c r="M834" s="7">
        <f t="shared" si="36"/>
        <v>0</v>
      </c>
      <c r="N834" s="13">
        <f>IF(AND(ISNUMBER(D834),ISNUMBER(Parametry!$G$6)),IF(AND(YEAR(D834)=Parametry!$G$6,M834&lt;=Parametry!$G$7),1,0),0)</f>
        <v>0</v>
      </c>
      <c r="O834" s="13">
        <f>IF(C834="",IF(COUNTA(D834:J834)&gt;0,1,0),IF(OR(COUNTIFS($C$9:$C$1008,C834)&lt;&gt;1,NOT(ISNUMBER(D834)),NOT(ISNUMBER(I834)),L834="",AND(F834&lt;&gt;"",COUNTIFS(Umowy!$C$9:$C$108,F834,Umowy!$D$9:$D$108,L834)&lt;&gt;1)),1,0))</f>
        <v>0</v>
      </c>
      <c r="P834" s="7" t="str">
        <f t="shared" si="37"/>
        <v/>
      </c>
      <c r="Q834" s="7" t="str">
        <f t="shared" si="38"/>
        <v/>
      </c>
    </row>
    <row r="835" spans="1:17" ht="24" customHeight="1">
      <c r="A835" s="7"/>
      <c r="B835" s="7"/>
      <c r="C835" s="3"/>
      <c r="D835" s="2"/>
      <c r="E835" s="3"/>
      <c r="F835" s="3"/>
      <c r="G835" s="3"/>
      <c r="H835" s="3"/>
      <c r="I835" s="6"/>
      <c r="J835" s="3"/>
      <c r="K835" s="7"/>
      <c r="L835" s="13" t="str">
        <f>IF(C835="","",IF(COUNTIFS(Parametry!$C$54:$C$113,E835)=1,INDEX(Parametry!$D$54:$D$113,MATCH(E835,Parametry!$C$54:$C$113,0)),""))</f>
        <v/>
      </c>
      <c r="M835" s="7">
        <f t="shared" si="36"/>
        <v>0</v>
      </c>
      <c r="N835" s="13">
        <f>IF(AND(ISNUMBER(D835),ISNUMBER(Parametry!$G$6)),IF(AND(YEAR(D835)=Parametry!$G$6,M835&lt;=Parametry!$G$7),1,0),0)</f>
        <v>0</v>
      </c>
      <c r="O835" s="13">
        <f>IF(C835="",IF(COUNTA(D835:J835)&gt;0,1,0),IF(OR(COUNTIFS($C$9:$C$1008,C835)&lt;&gt;1,NOT(ISNUMBER(D835)),NOT(ISNUMBER(I835)),L835="",AND(F835&lt;&gt;"",COUNTIFS(Umowy!$C$9:$C$108,F835,Umowy!$D$9:$D$108,L835)&lt;&gt;1)),1,0))</f>
        <v>0</v>
      </c>
      <c r="P835" s="7" t="str">
        <f t="shared" si="37"/>
        <v/>
      </c>
      <c r="Q835" s="7" t="str">
        <f t="shared" si="38"/>
        <v/>
      </c>
    </row>
    <row r="836" spans="1:17" ht="24" customHeight="1">
      <c r="A836" s="7"/>
      <c r="B836" s="7"/>
      <c r="C836" s="3"/>
      <c r="D836" s="2"/>
      <c r="E836" s="3"/>
      <c r="F836" s="3"/>
      <c r="G836" s="3"/>
      <c r="H836" s="3"/>
      <c r="I836" s="6"/>
      <c r="J836" s="3"/>
      <c r="K836" s="7"/>
      <c r="L836" s="13" t="str">
        <f>IF(C836="","",IF(COUNTIFS(Parametry!$C$54:$C$113,E836)=1,INDEX(Parametry!$D$54:$D$113,MATCH(E836,Parametry!$C$54:$C$113,0)),""))</f>
        <v/>
      </c>
      <c r="M836" s="7">
        <f t="shared" si="36"/>
        <v>0</v>
      </c>
      <c r="N836" s="13">
        <f>IF(AND(ISNUMBER(D836),ISNUMBER(Parametry!$G$6)),IF(AND(YEAR(D836)=Parametry!$G$6,M836&lt;=Parametry!$G$7),1,0),0)</f>
        <v>0</v>
      </c>
      <c r="O836" s="13">
        <f>IF(C836="",IF(COUNTA(D836:J836)&gt;0,1,0),IF(OR(COUNTIFS($C$9:$C$1008,C836)&lt;&gt;1,NOT(ISNUMBER(D836)),NOT(ISNUMBER(I836)),L836="",AND(F836&lt;&gt;"",COUNTIFS(Umowy!$C$9:$C$108,F836,Umowy!$D$9:$D$108,L836)&lt;&gt;1)),1,0))</f>
        <v>0</v>
      </c>
      <c r="P836" s="7" t="str">
        <f t="shared" si="37"/>
        <v/>
      </c>
      <c r="Q836" s="7" t="str">
        <f t="shared" si="38"/>
        <v/>
      </c>
    </row>
    <row r="837" spans="1:17" ht="24" customHeight="1">
      <c r="A837" s="7"/>
      <c r="B837" s="7"/>
      <c r="C837" s="3"/>
      <c r="D837" s="2"/>
      <c r="E837" s="3"/>
      <c r="F837" s="3"/>
      <c r="G837" s="3"/>
      <c r="H837" s="3"/>
      <c r="I837" s="6"/>
      <c r="J837" s="3"/>
      <c r="K837" s="7"/>
      <c r="L837" s="13" t="str">
        <f>IF(C837="","",IF(COUNTIFS(Parametry!$C$54:$C$113,E837)=1,INDEX(Parametry!$D$54:$D$113,MATCH(E837,Parametry!$C$54:$C$113,0)),""))</f>
        <v/>
      </c>
      <c r="M837" s="7">
        <f t="shared" si="36"/>
        <v>0</v>
      </c>
      <c r="N837" s="13">
        <f>IF(AND(ISNUMBER(D837),ISNUMBER(Parametry!$G$6)),IF(AND(YEAR(D837)=Parametry!$G$6,M837&lt;=Parametry!$G$7),1,0),0)</f>
        <v>0</v>
      </c>
      <c r="O837" s="13">
        <f>IF(C837="",IF(COUNTA(D837:J837)&gt;0,1,0),IF(OR(COUNTIFS($C$9:$C$1008,C837)&lt;&gt;1,NOT(ISNUMBER(D837)),NOT(ISNUMBER(I837)),L837="",AND(F837&lt;&gt;"",COUNTIFS(Umowy!$C$9:$C$108,F837,Umowy!$D$9:$D$108,L837)&lt;&gt;1)),1,0))</f>
        <v>0</v>
      </c>
      <c r="P837" s="7" t="str">
        <f t="shared" si="37"/>
        <v/>
      </c>
      <c r="Q837" s="7" t="str">
        <f t="shared" si="38"/>
        <v/>
      </c>
    </row>
    <row r="838" spans="1:17" ht="24" customHeight="1">
      <c r="A838" s="7"/>
      <c r="B838" s="7"/>
      <c r="C838" s="3"/>
      <c r="D838" s="2"/>
      <c r="E838" s="3"/>
      <c r="F838" s="3"/>
      <c r="G838" s="3"/>
      <c r="H838" s="3"/>
      <c r="I838" s="6"/>
      <c r="J838" s="3"/>
      <c r="K838" s="7"/>
      <c r="L838" s="13" t="str">
        <f>IF(C838="","",IF(COUNTIFS(Parametry!$C$54:$C$113,E838)=1,INDEX(Parametry!$D$54:$D$113,MATCH(E838,Parametry!$C$54:$C$113,0)),""))</f>
        <v/>
      </c>
      <c r="M838" s="7">
        <f t="shared" si="36"/>
        <v>0</v>
      </c>
      <c r="N838" s="13">
        <f>IF(AND(ISNUMBER(D838),ISNUMBER(Parametry!$G$6)),IF(AND(YEAR(D838)=Parametry!$G$6,M838&lt;=Parametry!$G$7),1,0),0)</f>
        <v>0</v>
      </c>
      <c r="O838" s="13">
        <f>IF(C838="",IF(COUNTA(D838:J838)&gt;0,1,0),IF(OR(COUNTIFS($C$9:$C$1008,C838)&lt;&gt;1,NOT(ISNUMBER(D838)),NOT(ISNUMBER(I838)),L838="",AND(F838&lt;&gt;"",COUNTIFS(Umowy!$C$9:$C$108,F838,Umowy!$D$9:$D$108,L838)&lt;&gt;1)),1,0))</f>
        <v>0</v>
      </c>
      <c r="P838" s="7" t="str">
        <f t="shared" si="37"/>
        <v/>
      </c>
      <c r="Q838" s="7" t="str">
        <f t="shared" si="38"/>
        <v/>
      </c>
    </row>
    <row r="839" spans="1:17" ht="24" customHeight="1">
      <c r="A839" s="7"/>
      <c r="B839" s="7"/>
      <c r="C839" s="3"/>
      <c r="D839" s="2"/>
      <c r="E839" s="3"/>
      <c r="F839" s="3"/>
      <c r="G839" s="3"/>
      <c r="H839" s="3"/>
      <c r="I839" s="6"/>
      <c r="J839" s="3"/>
      <c r="K839" s="7"/>
      <c r="L839" s="13" t="str">
        <f>IF(C839="","",IF(COUNTIFS(Parametry!$C$54:$C$113,E839)=1,INDEX(Parametry!$D$54:$D$113,MATCH(E839,Parametry!$C$54:$C$113,0)),""))</f>
        <v/>
      </c>
      <c r="M839" s="7">
        <f t="shared" si="36"/>
        <v>0</v>
      </c>
      <c r="N839" s="13">
        <f>IF(AND(ISNUMBER(D839),ISNUMBER(Parametry!$G$6)),IF(AND(YEAR(D839)=Parametry!$G$6,M839&lt;=Parametry!$G$7),1,0),0)</f>
        <v>0</v>
      </c>
      <c r="O839" s="13">
        <f>IF(C839="",IF(COUNTA(D839:J839)&gt;0,1,0),IF(OR(COUNTIFS($C$9:$C$1008,C839)&lt;&gt;1,NOT(ISNUMBER(D839)),NOT(ISNUMBER(I839)),L839="",AND(F839&lt;&gt;"",COUNTIFS(Umowy!$C$9:$C$108,F839,Umowy!$D$9:$D$108,L839)&lt;&gt;1)),1,0))</f>
        <v>0</v>
      </c>
      <c r="P839" s="7" t="str">
        <f t="shared" si="37"/>
        <v/>
      </c>
      <c r="Q839" s="7" t="str">
        <f t="shared" si="38"/>
        <v/>
      </c>
    </row>
    <row r="840" spans="1:17" ht="24" customHeight="1">
      <c r="A840" s="7"/>
      <c r="B840" s="7"/>
      <c r="C840" s="3"/>
      <c r="D840" s="2"/>
      <c r="E840" s="3"/>
      <c r="F840" s="3"/>
      <c r="G840" s="3"/>
      <c r="H840" s="3"/>
      <c r="I840" s="6"/>
      <c r="J840" s="3"/>
      <c r="K840" s="7"/>
      <c r="L840" s="13" t="str">
        <f>IF(C840="","",IF(COUNTIFS(Parametry!$C$54:$C$113,E840)=1,INDEX(Parametry!$D$54:$D$113,MATCH(E840,Parametry!$C$54:$C$113,0)),""))</f>
        <v/>
      </c>
      <c r="M840" s="7">
        <f t="shared" si="36"/>
        <v>0</v>
      </c>
      <c r="N840" s="13">
        <f>IF(AND(ISNUMBER(D840),ISNUMBER(Parametry!$G$6)),IF(AND(YEAR(D840)=Parametry!$G$6,M840&lt;=Parametry!$G$7),1,0),0)</f>
        <v>0</v>
      </c>
      <c r="O840" s="13">
        <f>IF(C840="",IF(COUNTA(D840:J840)&gt;0,1,0),IF(OR(COUNTIFS($C$9:$C$1008,C840)&lt;&gt;1,NOT(ISNUMBER(D840)),NOT(ISNUMBER(I840)),L840="",AND(F840&lt;&gt;"",COUNTIFS(Umowy!$C$9:$C$108,F840,Umowy!$D$9:$D$108,L840)&lt;&gt;1)),1,0))</f>
        <v>0</v>
      </c>
      <c r="P840" s="7" t="str">
        <f t="shared" si="37"/>
        <v/>
      </c>
      <c r="Q840" s="7" t="str">
        <f t="shared" si="38"/>
        <v/>
      </c>
    </row>
    <row r="841" spans="1:17" ht="24" customHeight="1">
      <c r="A841" s="7"/>
      <c r="B841" s="7"/>
      <c r="C841" s="3"/>
      <c r="D841" s="2"/>
      <c r="E841" s="3"/>
      <c r="F841" s="3"/>
      <c r="G841" s="3"/>
      <c r="H841" s="3"/>
      <c r="I841" s="6"/>
      <c r="J841" s="3"/>
      <c r="K841" s="7"/>
      <c r="L841" s="13" t="str">
        <f>IF(C841="","",IF(COUNTIFS(Parametry!$C$54:$C$113,E841)=1,INDEX(Parametry!$D$54:$D$113,MATCH(E841,Parametry!$C$54:$C$113,0)),""))</f>
        <v/>
      </c>
      <c r="M841" s="7">
        <f t="shared" ref="M841:M904" si="39">IF(ISNUMBER(D841),MONTH(D841),0)</f>
        <v>0</v>
      </c>
      <c r="N841" s="13">
        <f>IF(AND(ISNUMBER(D841),ISNUMBER(Parametry!$G$6)),IF(AND(YEAR(D841)=Parametry!$G$6,M841&lt;=Parametry!$G$7),1,0),0)</f>
        <v>0</v>
      </c>
      <c r="O841" s="13">
        <f>IF(C841="",IF(COUNTA(D841:J841)&gt;0,1,0),IF(OR(COUNTIFS($C$9:$C$1008,C841)&lt;&gt;1,NOT(ISNUMBER(D841)),NOT(ISNUMBER(I841)),L841="",AND(F841&lt;&gt;"",COUNTIFS(Umowy!$C$9:$C$108,F841,Umowy!$D$9:$D$108,L841)&lt;&gt;1)),1,0))</f>
        <v>0</v>
      </c>
      <c r="P841" s="7" t="str">
        <f t="shared" ref="P841:P904" si="40">IF(O841=0,"",IF(C841="","Missing RowID",IF(COUNTIFS($C$9:$C$1008,C841)&lt;&gt;1,"Duplicate RowID",IF(L841="","Unmapped ERPKey",IF(NOT(ISNUMBER(D841)),"Invalid Date",IF(NOT(ISNUMBER(I841)),"Invalid AmountPLN","CommitmentID / BudgetID"))))))</f>
        <v/>
      </c>
      <c r="Q841" s="7" t="str">
        <f t="shared" ref="Q841:Q904" si="41">IF(C841="","",IF(N841=1,"","Nie ujęto w wykonaniu okresu"))</f>
        <v/>
      </c>
    </row>
    <row r="842" spans="1:17" ht="24" customHeight="1">
      <c r="A842" s="7"/>
      <c r="B842" s="7"/>
      <c r="C842" s="3"/>
      <c r="D842" s="2"/>
      <c r="E842" s="3"/>
      <c r="F842" s="3"/>
      <c r="G842" s="3"/>
      <c r="H842" s="3"/>
      <c r="I842" s="6"/>
      <c r="J842" s="3"/>
      <c r="K842" s="7"/>
      <c r="L842" s="13" t="str">
        <f>IF(C842="","",IF(COUNTIFS(Parametry!$C$54:$C$113,E842)=1,INDEX(Parametry!$D$54:$D$113,MATCH(E842,Parametry!$C$54:$C$113,0)),""))</f>
        <v/>
      </c>
      <c r="M842" s="7">
        <f t="shared" si="39"/>
        <v>0</v>
      </c>
      <c r="N842" s="13">
        <f>IF(AND(ISNUMBER(D842),ISNUMBER(Parametry!$G$6)),IF(AND(YEAR(D842)=Parametry!$G$6,M842&lt;=Parametry!$G$7),1,0),0)</f>
        <v>0</v>
      </c>
      <c r="O842" s="13">
        <f>IF(C842="",IF(COUNTA(D842:J842)&gt;0,1,0),IF(OR(COUNTIFS($C$9:$C$1008,C842)&lt;&gt;1,NOT(ISNUMBER(D842)),NOT(ISNUMBER(I842)),L842="",AND(F842&lt;&gt;"",COUNTIFS(Umowy!$C$9:$C$108,F842,Umowy!$D$9:$D$108,L842)&lt;&gt;1)),1,0))</f>
        <v>0</v>
      </c>
      <c r="P842" s="7" t="str">
        <f t="shared" si="40"/>
        <v/>
      </c>
      <c r="Q842" s="7" t="str">
        <f t="shared" si="41"/>
        <v/>
      </c>
    </row>
    <row r="843" spans="1:17" ht="24" customHeight="1">
      <c r="A843" s="7"/>
      <c r="B843" s="7"/>
      <c r="C843" s="3"/>
      <c r="D843" s="2"/>
      <c r="E843" s="3"/>
      <c r="F843" s="3"/>
      <c r="G843" s="3"/>
      <c r="H843" s="3"/>
      <c r="I843" s="6"/>
      <c r="J843" s="3"/>
      <c r="K843" s="7"/>
      <c r="L843" s="13" t="str">
        <f>IF(C843="","",IF(COUNTIFS(Parametry!$C$54:$C$113,E843)=1,INDEX(Parametry!$D$54:$D$113,MATCH(E843,Parametry!$C$54:$C$113,0)),""))</f>
        <v/>
      </c>
      <c r="M843" s="7">
        <f t="shared" si="39"/>
        <v>0</v>
      </c>
      <c r="N843" s="13">
        <f>IF(AND(ISNUMBER(D843),ISNUMBER(Parametry!$G$6)),IF(AND(YEAR(D843)=Parametry!$G$6,M843&lt;=Parametry!$G$7),1,0),0)</f>
        <v>0</v>
      </c>
      <c r="O843" s="13">
        <f>IF(C843="",IF(COUNTA(D843:J843)&gt;0,1,0),IF(OR(COUNTIFS($C$9:$C$1008,C843)&lt;&gt;1,NOT(ISNUMBER(D843)),NOT(ISNUMBER(I843)),L843="",AND(F843&lt;&gt;"",COUNTIFS(Umowy!$C$9:$C$108,F843,Umowy!$D$9:$D$108,L843)&lt;&gt;1)),1,0))</f>
        <v>0</v>
      </c>
      <c r="P843" s="7" t="str">
        <f t="shared" si="40"/>
        <v/>
      </c>
      <c r="Q843" s="7" t="str">
        <f t="shared" si="41"/>
        <v/>
      </c>
    </row>
    <row r="844" spans="1:17" ht="24" customHeight="1">
      <c r="A844" s="7"/>
      <c r="B844" s="7"/>
      <c r="C844" s="3"/>
      <c r="D844" s="2"/>
      <c r="E844" s="3"/>
      <c r="F844" s="3"/>
      <c r="G844" s="3"/>
      <c r="H844" s="3"/>
      <c r="I844" s="6"/>
      <c r="J844" s="3"/>
      <c r="K844" s="7"/>
      <c r="L844" s="13" t="str">
        <f>IF(C844="","",IF(COUNTIFS(Parametry!$C$54:$C$113,E844)=1,INDEX(Parametry!$D$54:$D$113,MATCH(E844,Parametry!$C$54:$C$113,0)),""))</f>
        <v/>
      </c>
      <c r="M844" s="7">
        <f t="shared" si="39"/>
        <v>0</v>
      </c>
      <c r="N844" s="13">
        <f>IF(AND(ISNUMBER(D844),ISNUMBER(Parametry!$G$6)),IF(AND(YEAR(D844)=Parametry!$G$6,M844&lt;=Parametry!$G$7),1,0),0)</f>
        <v>0</v>
      </c>
      <c r="O844" s="13">
        <f>IF(C844="",IF(COUNTA(D844:J844)&gt;0,1,0),IF(OR(COUNTIFS($C$9:$C$1008,C844)&lt;&gt;1,NOT(ISNUMBER(D844)),NOT(ISNUMBER(I844)),L844="",AND(F844&lt;&gt;"",COUNTIFS(Umowy!$C$9:$C$108,F844,Umowy!$D$9:$D$108,L844)&lt;&gt;1)),1,0))</f>
        <v>0</v>
      </c>
      <c r="P844" s="7" t="str">
        <f t="shared" si="40"/>
        <v/>
      </c>
      <c r="Q844" s="7" t="str">
        <f t="shared" si="41"/>
        <v/>
      </c>
    </row>
    <row r="845" spans="1:17" ht="24" customHeight="1">
      <c r="A845" s="7"/>
      <c r="B845" s="7"/>
      <c r="C845" s="3"/>
      <c r="D845" s="2"/>
      <c r="E845" s="3"/>
      <c r="F845" s="3"/>
      <c r="G845" s="3"/>
      <c r="H845" s="3"/>
      <c r="I845" s="6"/>
      <c r="J845" s="3"/>
      <c r="K845" s="7"/>
      <c r="L845" s="13" t="str">
        <f>IF(C845="","",IF(COUNTIFS(Parametry!$C$54:$C$113,E845)=1,INDEX(Parametry!$D$54:$D$113,MATCH(E845,Parametry!$C$54:$C$113,0)),""))</f>
        <v/>
      </c>
      <c r="M845" s="7">
        <f t="shared" si="39"/>
        <v>0</v>
      </c>
      <c r="N845" s="13">
        <f>IF(AND(ISNUMBER(D845),ISNUMBER(Parametry!$G$6)),IF(AND(YEAR(D845)=Parametry!$G$6,M845&lt;=Parametry!$G$7),1,0),0)</f>
        <v>0</v>
      </c>
      <c r="O845" s="13">
        <f>IF(C845="",IF(COUNTA(D845:J845)&gt;0,1,0),IF(OR(COUNTIFS($C$9:$C$1008,C845)&lt;&gt;1,NOT(ISNUMBER(D845)),NOT(ISNUMBER(I845)),L845="",AND(F845&lt;&gt;"",COUNTIFS(Umowy!$C$9:$C$108,F845,Umowy!$D$9:$D$108,L845)&lt;&gt;1)),1,0))</f>
        <v>0</v>
      </c>
      <c r="P845" s="7" t="str">
        <f t="shared" si="40"/>
        <v/>
      </c>
      <c r="Q845" s="7" t="str">
        <f t="shared" si="41"/>
        <v/>
      </c>
    </row>
    <row r="846" spans="1:17" ht="24" customHeight="1">
      <c r="A846" s="7"/>
      <c r="B846" s="7"/>
      <c r="C846" s="3"/>
      <c r="D846" s="2"/>
      <c r="E846" s="3"/>
      <c r="F846" s="3"/>
      <c r="G846" s="3"/>
      <c r="H846" s="3"/>
      <c r="I846" s="6"/>
      <c r="J846" s="3"/>
      <c r="K846" s="7"/>
      <c r="L846" s="13" t="str">
        <f>IF(C846="","",IF(COUNTIFS(Parametry!$C$54:$C$113,E846)=1,INDEX(Parametry!$D$54:$D$113,MATCH(E846,Parametry!$C$54:$C$113,0)),""))</f>
        <v/>
      </c>
      <c r="M846" s="7">
        <f t="shared" si="39"/>
        <v>0</v>
      </c>
      <c r="N846" s="13">
        <f>IF(AND(ISNUMBER(D846),ISNUMBER(Parametry!$G$6)),IF(AND(YEAR(D846)=Parametry!$G$6,M846&lt;=Parametry!$G$7),1,0),0)</f>
        <v>0</v>
      </c>
      <c r="O846" s="13">
        <f>IF(C846="",IF(COUNTA(D846:J846)&gt;0,1,0),IF(OR(COUNTIFS($C$9:$C$1008,C846)&lt;&gt;1,NOT(ISNUMBER(D846)),NOT(ISNUMBER(I846)),L846="",AND(F846&lt;&gt;"",COUNTIFS(Umowy!$C$9:$C$108,F846,Umowy!$D$9:$D$108,L846)&lt;&gt;1)),1,0))</f>
        <v>0</v>
      </c>
      <c r="P846" s="7" t="str">
        <f t="shared" si="40"/>
        <v/>
      </c>
      <c r="Q846" s="7" t="str">
        <f t="shared" si="41"/>
        <v/>
      </c>
    </row>
    <row r="847" spans="1:17" ht="24" customHeight="1">
      <c r="A847" s="7"/>
      <c r="B847" s="7"/>
      <c r="C847" s="3"/>
      <c r="D847" s="2"/>
      <c r="E847" s="3"/>
      <c r="F847" s="3"/>
      <c r="G847" s="3"/>
      <c r="H847" s="3"/>
      <c r="I847" s="6"/>
      <c r="J847" s="3"/>
      <c r="K847" s="7"/>
      <c r="L847" s="13" t="str">
        <f>IF(C847="","",IF(COUNTIFS(Parametry!$C$54:$C$113,E847)=1,INDEX(Parametry!$D$54:$D$113,MATCH(E847,Parametry!$C$54:$C$113,0)),""))</f>
        <v/>
      </c>
      <c r="M847" s="7">
        <f t="shared" si="39"/>
        <v>0</v>
      </c>
      <c r="N847" s="13">
        <f>IF(AND(ISNUMBER(D847),ISNUMBER(Parametry!$G$6)),IF(AND(YEAR(D847)=Parametry!$G$6,M847&lt;=Parametry!$G$7),1,0),0)</f>
        <v>0</v>
      </c>
      <c r="O847" s="13">
        <f>IF(C847="",IF(COUNTA(D847:J847)&gt;0,1,0),IF(OR(COUNTIFS($C$9:$C$1008,C847)&lt;&gt;1,NOT(ISNUMBER(D847)),NOT(ISNUMBER(I847)),L847="",AND(F847&lt;&gt;"",COUNTIFS(Umowy!$C$9:$C$108,F847,Umowy!$D$9:$D$108,L847)&lt;&gt;1)),1,0))</f>
        <v>0</v>
      </c>
      <c r="P847" s="7" t="str">
        <f t="shared" si="40"/>
        <v/>
      </c>
      <c r="Q847" s="7" t="str">
        <f t="shared" si="41"/>
        <v/>
      </c>
    </row>
    <row r="848" spans="1:17" ht="24" customHeight="1">
      <c r="A848" s="7"/>
      <c r="B848" s="7"/>
      <c r="C848" s="3"/>
      <c r="D848" s="2"/>
      <c r="E848" s="3"/>
      <c r="F848" s="3"/>
      <c r="G848" s="3"/>
      <c r="H848" s="3"/>
      <c r="I848" s="6"/>
      <c r="J848" s="3"/>
      <c r="K848" s="7"/>
      <c r="L848" s="13" t="str">
        <f>IF(C848="","",IF(COUNTIFS(Parametry!$C$54:$C$113,E848)=1,INDEX(Parametry!$D$54:$D$113,MATCH(E848,Parametry!$C$54:$C$113,0)),""))</f>
        <v/>
      </c>
      <c r="M848" s="7">
        <f t="shared" si="39"/>
        <v>0</v>
      </c>
      <c r="N848" s="13">
        <f>IF(AND(ISNUMBER(D848),ISNUMBER(Parametry!$G$6)),IF(AND(YEAR(D848)=Parametry!$G$6,M848&lt;=Parametry!$G$7),1,0),0)</f>
        <v>0</v>
      </c>
      <c r="O848" s="13">
        <f>IF(C848="",IF(COUNTA(D848:J848)&gt;0,1,0),IF(OR(COUNTIFS($C$9:$C$1008,C848)&lt;&gt;1,NOT(ISNUMBER(D848)),NOT(ISNUMBER(I848)),L848="",AND(F848&lt;&gt;"",COUNTIFS(Umowy!$C$9:$C$108,F848,Umowy!$D$9:$D$108,L848)&lt;&gt;1)),1,0))</f>
        <v>0</v>
      </c>
      <c r="P848" s="7" t="str">
        <f t="shared" si="40"/>
        <v/>
      </c>
      <c r="Q848" s="7" t="str">
        <f t="shared" si="41"/>
        <v/>
      </c>
    </row>
    <row r="849" spans="1:17" ht="24" customHeight="1">
      <c r="A849" s="7"/>
      <c r="B849" s="7"/>
      <c r="C849" s="3"/>
      <c r="D849" s="2"/>
      <c r="E849" s="3"/>
      <c r="F849" s="3"/>
      <c r="G849" s="3"/>
      <c r="H849" s="3"/>
      <c r="I849" s="6"/>
      <c r="J849" s="3"/>
      <c r="K849" s="7"/>
      <c r="L849" s="13" t="str">
        <f>IF(C849="","",IF(COUNTIFS(Parametry!$C$54:$C$113,E849)=1,INDEX(Parametry!$D$54:$D$113,MATCH(E849,Parametry!$C$54:$C$113,0)),""))</f>
        <v/>
      </c>
      <c r="M849" s="7">
        <f t="shared" si="39"/>
        <v>0</v>
      </c>
      <c r="N849" s="13">
        <f>IF(AND(ISNUMBER(D849),ISNUMBER(Parametry!$G$6)),IF(AND(YEAR(D849)=Parametry!$G$6,M849&lt;=Parametry!$G$7),1,0),0)</f>
        <v>0</v>
      </c>
      <c r="O849" s="13">
        <f>IF(C849="",IF(COUNTA(D849:J849)&gt;0,1,0),IF(OR(COUNTIFS($C$9:$C$1008,C849)&lt;&gt;1,NOT(ISNUMBER(D849)),NOT(ISNUMBER(I849)),L849="",AND(F849&lt;&gt;"",COUNTIFS(Umowy!$C$9:$C$108,F849,Umowy!$D$9:$D$108,L849)&lt;&gt;1)),1,0))</f>
        <v>0</v>
      </c>
      <c r="P849" s="7" t="str">
        <f t="shared" si="40"/>
        <v/>
      </c>
      <c r="Q849" s="7" t="str">
        <f t="shared" si="41"/>
        <v/>
      </c>
    </row>
    <row r="850" spans="1:17" ht="24" customHeight="1">
      <c r="A850" s="7"/>
      <c r="B850" s="7"/>
      <c r="C850" s="3"/>
      <c r="D850" s="2"/>
      <c r="E850" s="3"/>
      <c r="F850" s="3"/>
      <c r="G850" s="3"/>
      <c r="H850" s="3"/>
      <c r="I850" s="6"/>
      <c r="J850" s="3"/>
      <c r="K850" s="7"/>
      <c r="L850" s="13" t="str">
        <f>IF(C850="","",IF(COUNTIFS(Parametry!$C$54:$C$113,E850)=1,INDEX(Parametry!$D$54:$D$113,MATCH(E850,Parametry!$C$54:$C$113,0)),""))</f>
        <v/>
      </c>
      <c r="M850" s="7">
        <f t="shared" si="39"/>
        <v>0</v>
      </c>
      <c r="N850" s="13">
        <f>IF(AND(ISNUMBER(D850),ISNUMBER(Parametry!$G$6)),IF(AND(YEAR(D850)=Parametry!$G$6,M850&lt;=Parametry!$G$7),1,0),0)</f>
        <v>0</v>
      </c>
      <c r="O850" s="13">
        <f>IF(C850="",IF(COUNTA(D850:J850)&gt;0,1,0),IF(OR(COUNTIFS($C$9:$C$1008,C850)&lt;&gt;1,NOT(ISNUMBER(D850)),NOT(ISNUMBER(I850)),L850="",AND(F850&lt;&gt;"",COUNTIFS(Umowy!$C$9:$C$108,F850,Umowy!$D$9:$D$108,L850)&lt;&gt;1)),1,0))</f>
        <v>0</v>
      </c>
      <c r="P850" s="7" t="str">
        <f t="shared" si="40"/>
        <v/>
      </c>
      <c r="Q850" s="7" t="str">
        <f t="shared" si="41"/>
        <v/>
      </c>
    </row>
    <row r="851" spans="1:17" ht="24" customHeight="1">
      <c r="A851" s="7"/>
      <c r="B851" s="7"/>
      <c r="C851" s="3"/>
      <c r="D851" s="2"/>
      <c r="E851" s="3"/>
      <c r="F851" s="3"/>
      <c r="G851" s="3"/>
      <c r="H851" s="3"/>
      <c r="I851" s="6"/>
      <c r="J851" s="3"/>
      <c r="K851" s="7"/>
      <c r="L851" s="13" t="str">
        <f>IF(C851="","",IF(COUNTIFS(Parametry!$C$54:$C$113,E851)=1,INDEX(Parametry!$D$54:$D$113,MATCH(E851,Parametry!$C$54:$C$113,0)),""))</f>
        <v/>
      </c>
      <c r="M851" s="7">
        <f t="shared" si="39"/>
        <v>0</v>
      </c>
      <c r="N851" s="13">
        <f>IF(AND(ISNUMBER(D851),ISNUMBER(Parametry!$G$6)),IF(AND(YEAR(D851)=Parametry!$G$6,M851&lt;=Parametry!$G$7),1,0),0)</f>
        <v>0</v>
      </c>
      <c r="O851" s="13">
        <f>IF(C851="",IF(COUNTA(D851:J851)&gt;0,1,0),IF(OR(COUNTIFS($C$9:$C$1008,C851)&lt;&gt;1,NOT(ISNUMBER(D851)),NOT(ISNUMBER(I851)),L851="",AND(F851&lt;&gt;"",COUNTIFS(Umowy!$C$9:$C$108,F851,Umowy!$D$9:$D$108,L851)&lt;&gt;1)),1,0))</f>
        <v>0</v>
      </c>
      <c r="P851" s="7" t="str">
        <f t="shared" si="40"/>
        <v/>
      </c>
      <c r="Q851" s="7" t="str">
        <f t="shared" si="41"/>
        <v/>
      </c>
    </row>
    <row r="852" spans="1:17" ht="24" customHeight="1">
      <c r="A852" s="7"/>
      <c r="B852" s="7"/>
      <c r="C852" s="3"/>
      <c r="D852" s="2"/>
      <c r="E852" s="3"/>
      <c r="F852" s="3"/>
      <c r="G852" s="3"/>
      <c r="H852" s="3"/>
      <c r="I852" s="6"/>
      <c r="J852" s="3"/>
      <c r="K852" s="7"/>
      <c r="L852" s="13" t="str">
        <f>IF(C852="","",IF(COUNTIFS(Parametry!$C$54:$C$113,E852)=1,INDEX(Parametry!$D$54:$D$113,MATCH(E852,Parametry!$C$54:$C$113,0)),""))</f>
        <v/>
      </c>
      <c r="M852" s="7">
        <f t="shared" si="39"/>
        <v>0</v>
      </c>
      <c r="N852" s="13">
        <f>IF(AND(ISNUMBER(D852),ISNUMBER(Parametry!$G$6)),IF(AND(YEAR(D852)=Parametry!$G$6,M852&lt;=Parametry!$G$7),1,0),0)</f>
        <v>0</v>
      </c>
      <c r="O852" s="13">
        <f>IF(C852="",IF(COUNTA(D852:J852)&gt;0,1,0),IF(OR(COUNTIFS($C$9:$C$1008,C852)&lt;&gt;1,NOT(ISNUMBER(D852)),NOT(ISNUMBER(I852)),L852="",AND(F852&lt;&gt;"",COUNTIFS(Umowy!$C$9:$C$108,F852,Umowy!$D$9:$D$108,L852)&lt;&gt;1)),1,0))</f>
        <v>0</v>
      </c>
      <c r="P852" s="7" t="str">
        <f t="shared" si="40"/>
        <v/>
      </c>
      <c r="Q852" s="7" t="str">
        <f t="shared" si="41"/>
        <v/>
      </c>
    </row>
    <row r="853" spans="1:17" ht="24" customHeight="1">
      <c r="A853" s="7"/>
      <c r="B853" s="7"/>
      <c r="C853" s="3"/>
      <c r="D853" s="2"/>
      <c r="E853" s="3"/>
      <c r="F853" s="3"/>
      <c r="G853" s="3"/>
      <c r="H853" s="3"/>
      <c r="I853" s="6"/>
      <c r="J853" s="3"/>
      <c r="K853" s="7"/>
      <c r="L853" s="13" t="str">
        <f>IF(C853="","",IF(COUNTIFS(Parametry!$C$54:$C$113,E853)=1,INDEX(Parametry!$D$54:$D$113,MATCH(E853,Parametry!$C$54:$C$113,0)),""))</f>
        <v/>
      </c>
      <c r="M853" s="7">
        <f t="shared" si="39"/>
        <v>0</v>
      </c>
      <c r="N853" s="13">
        <f>IF(AND(ISNUMBER(D853),ISNUMBER(Parametry!$G$6)),IF(AND(YEAR(D853)=Parametry!$G$6,M853&lt;=Parametry!$G$7),1,0),0)</f>
        <v>0</v>
      </c>
      <c r="O853" s="13">
        <f>IF(C853="",IF(COUNTA(D853:J853)&gt;0,1,0),IF(OR(COUNTIFS($C$9:$C$1008,C853)&lt;&gt;1,NOT(ISNUMBER(D853)),NOT(ISNUMBER(I853)),L853="",AND(F853&lt;&gt;"",COUNTIFS(Umowy!$C$9:$C$108,F853,Umowy!$D$9:$D$108,L853)&lt;&gt;1)),1,0))</f>
        <v>0</v>
      </c>
      <c r="P853" s="7" t="str">
        <f t="shared" si="40"/>
        <v/>
      </c>
      <c r="Q853" s="7" t="str">
        <f t="shared" si="41"/>
        <v/>
      </c>
    </row>
    <row r="854" spans="1:17" ht="24" customHeight="1">
      <c r="A854" s="7"/>
      <c r="B854" s="7"/>
      <c r="C854" s="3"/>
      <c r="D854" s="2"/>
      <c r="E854" s="3"/>
      <c r="F854" s="3"/>
      <c r="G854" s="3"/>
      <c r="H854" s="3"/>
      <c r="I854" s="6"/>
      <c r="J854" s="3"/>
      <c r="K854" s="7"/>
      <c r="L854" s="13" t="str">
        <f>IF(C854="","",IF(COUNTIFS(Parametry!$C$54:$C$113,E854)=1,INDEX(Parametry!$D$54:$D$113,MATCH(E854,Parametry!$C$54:$C$113,0)),""))</f>
        <v/>
      </c>
      <c r="M854" s="7">
        <f t="shared" si="39"/>
        <v>0</v>
      </c>
      <c r="N854" s="13">
        <f>IF(AND(ISNUMBER(D854),ISNUMBER(Parametry!$G$6)),IF(AND(YEAR(D854)=Parametry!$G$6,M854&lt;=Parametry!$G$7),1,0),0)</f>
        <v>0</v>
      </c>
      <c r="O854" s="13">
        <f>IF(C854="",IF(COUNTA(D854:J854)&gt;0,1,0),IF(OR(COUNTIFS($C$9:$C$1008,C854)&lt;&gt;1,NOT(ISNUMBER(D854)),NOT(ISNUMBER(I854)),L854="",AND(F854&lt;&gt;"",COUNTIFS(Umowy!$C$9:$C$108,F854,Umowy!$D$9:$D$108,L854)&lt;&gt;1)),1,0))</f>
        <v>0</v>
      </c>
      <c r="P854" s="7" t="str">
        <f t="shared" si="40"/>
        <v/>
      </c>
      <c r="Q854" s="7" t="str">
        <f t="shared" si="41"/>
        <v/>
      </c>
    </row>
    <row r="855" spans="1:17" ht="24" customHeight="1">
      <c r="A855" s="7"/>
      <c r="B855" s="7"/>
      <c r="C855" s="3"/>
      <c r="D855" s="2"/>
      <c r="E855" s="3"/>
      <c r="F855" s="3"/>
      <c r="G855" s="3"/>
      <c r="H855" s="3"/>
      <c r="I855" s="6"/>
      <c r="J855" s="3"/>
      <c r="K855" s="7"/>
      <c r="L855" s="13" t="str">
        <f>IF(C855="","",IF(COUNTIFS(Parametry!$C$54:$C$113,E855)=1,INDEX(Parametry!$D$54:$D$113,MATCH(E855,Parametry!$C$54:$C$113,0)),""))</f>
        <v/>
      </c>
      <c r="M855" s="7">
        <f t="shared" si="39"/>
        <v>0</v>
      </c>
      <c r="N855" s="13">
        <f>IF(AND(ISNUMBER(D855),ISNUMBER(Parametry!$G$6)),IF(AND(YEAR(D855)=Parametry!$G$6,M855&lt;=Parametry!$G$7),1,0),0)</f>
        <v>0</v>
      </c>
      <c r="O855" s="13">
        <f>IF(C855="",IF(COUNTA(D855:J855)&gt;0,1,0),IF(OR(COUNTIFS($C$9:$C$1008,C855)&lt;&gt;1,NOT(ISNUMBER(D855)),NOT(ISNUMBER(I855)),L855="",AND(F855&lt;&gt;"",COUNTIFS(Umowy!$C$9:$C$108,F855,Umowy!$D$9:$D$108,L855)&lt;&gt;1)),1,0))</f>
        <v>0</v>
      </c>
      <c r="P855" s="7" t="str">
        <f t="shared" si="40"/>
        <v/>
      </c>
      <c r="Q855" s="7" t="str">
        <f t="shared" si="41"/>
        <v/>
      </c>
    </row>
    <row r="856" spans="1:17" ht="24" customHeight="1">
      <c r="A856" s="7"/>
      <c r="B856" s="7"/>
      <c r="C856" s="3"/>
      <c r="D856" s="2"/>
      <c r="E856" s="3"/>
      <c r="F856" s="3"/>
      <c r="G856" s="3"/>
      <c r="H856" s="3"/>
      <c r="I856" s="6"/>
      <c r="J856" s="3"/>
      <c r="K856" s="7"/>
      <c r="L856" s="13" t="str">
        <f>IF(C856="","",IF(COUNTIFS(Parametry!$C$54:$C$113,E856)=1,INDEX(Parametry!$D$54:$D$113,MATCH(E856,Parametry!$C$54:$C$113,0)),""))</f>
        <v/>
      </c>
      <c r="M856" s="7">
        <f t="shared" si="39"/>
        <v>0</v>
      </c>
      <c r="N856" s="13">
        <f>IF(AND(ISNUMBER(D856),ISNUMBER(Parametry!$G$6)),IF(AND(YEAR(D856)=Parametry!$G$6,M856&lt;=Parametry!$G$7),1,0),0)</f>
        <v>0</v>
      </c>
      <c r="O856" s="13">
        <f>IF(C856="",IF(COUNTA(D856:J856)&gt;0,1,0),IF(OR(COUNTIFS($C$9:$C$1008,C856)&lt;&gt;1,NOT(ISNUMBER(D856)),NOT(ISNUMBER(I856)),L856="",AND(F856&lt;&gt;"",COUNTIFS(Umowy!$C$9:$C$108,F856,Umowy!$D$9:$D$108,L856)&lt;&gt;1)),1,0))</f>
        <v>0</v>
      </c>
      <c r="P856" s="7" t="str">
        <f t="shared" si="40"/>
        <v/>
      </c>
      <c r="Q856" s="7" t="str">
        <f t="shared" si="41"/>
        <v/>
      </c>
    </row>
    <row r="857" spans="1:17" ht="24" customHeight="1">
      <c r="A857" s="7"/>
      <c r="B857" s="7"/>
      <c r="C857" s="3"/>
      <c r="D857" s="2"/>
      <c r="E857" s="3"/>
      <c r="F857" s="3"/>
      <c r="G857" s="3"/>
      <c r="H857" s="3"/>
      <c r="I857" s="6"/>
      <c r="J857" s="3"/>
      <c r="K857" s="7"/>
      <c r="L857" s="13" t="str">
        <f>IF(C857="","",IF(COUNTIFS(Parametry!$C$54:$C$113,E857)=1,INDEX(Parametry!$D$54:$D$113,MATCH(E857,Parametry!$C$54:$C$113,0)),""))</f>
        <v/>
      </c>
      <c r="M857" s="7">
        <f t="shared" si="39"/>
        <v>0</v>
      </c>
      <c r="N857" s="13">
        <f>IF(AND(ISNUMBER(D857),ISNUMBER(Parametry!$G$6)),IF(AND(YEAR(D857)=Parametry!$G$6,M857&lt;=Parametry!$G$7),1,0),0)</f>
        <v>0</v>
      </c>
      <c r="O857" s="13">
        <f>IF(C857="",IF(COUNTA(D857:J857)&gt;0,1,0),IF(OR(COUNTIFS($C$9:$C$1008,C857)&lt;&gt;1,NOT(ISNUMBER(D857)),NOT(ISNUMBER(I857)),L857="",AND(F857&lt;&gt;"",COUNTIFS(Umowy!$C$9:$C$108,F857,Umowy!$D$9:$D$108,L857)&lt;&gt;1)),1,0))</f>
        <v>0</v>
      </c>
      <c r="P857" s="7" t="str">
        <f t="shared" si="40"/>
        <v/>
      </c>
      <c r="Q857" s="7" t="str">
        <f t="shared" si="41"/>
        <v/>
      </c>
    </row>
    <row r="858" spans="1:17" ht="24" customHeight="1">
      <c r="A858" s="7"/>
      <c r="B858" s="7"/>
      <c r="C858" s="3"/>
      <c r="D858" s="2"/>
      <c r="E858" s="3"/>
      <c r="F858" s="3"/>
      <c r="G858" s="3"/>
      <c r="H858" s="3"/>
      <c r="I858" s="6"/>
      <c r="J858" s="3"/>
      <c r="K858" s="7"/>
      <c r="L858" s="13" t="str">
        <f>IF(C858="","",IF(COUNTIFS(Parametry!$C$54:$C$113,E858)=1,INDEX(Parametry!$D$54:$D$113,MATCH(E858,Parametry!$C$54:$C$113,0)),""))</f>
        <v/>
      </c>
      <c r="M858" s="7">
        <f t="shared" si="39"/>
        <v>0</v>
      </c>
      <c r="N858" s="13">
        <f>IF(AND(ISNUMBER(D858),ISNUMBER(Parametry!$G$6)),IF(AND(YEAR(D858)=Parametry!$G$6,M858&lt;=Parametry!$G$7),1,0),0)</f>
        <v>0</v>
      </c>
      <c r="O858" s="13">
        <f>IF(C858="",IF(COUNTA(D858:J858)&gt;0,1,0),IF(OR(COUNTIFS($C$9:$C$1008,C858)&lt;&gt;1,NOT(ISNUMBER(D858)),NOT(ISNUMBER(I858)),L858="",AND(F858&lt;&gt;"",COUNTIFS(Umowy!$C$9:$C$108,F858,Umowy!$D$9:$D$108,L858)&lt;&gt;1)),1,0))</f>
        <v>0</v>
      </c>
      <c r="P858" s="7" t="str">
        <f t="shared" si="40"/>
        <v/>
      </c>
      <c r="Q858" s="7" t="str">
        <f t="shared" si="41"/>
        <v/>
      </c>
    </row>
    <row r="859" spans="1:17" ht="24" customHeight="1">
      <c r="A859" s="7"/>
      <c r="B859" s="7"/>
      <c r="C859" s="3"/>
      <c r="D859" s="2"/>
      <c r="E859" s="3"/>
      <c r="F859" s="3"/>
      <c r="G859" s="3"/>
      <c r="H859" s="3"/>
      <c r="I859" s="6"/>
      <c r="J859" s="3"/>
      <c r="K859" s="7"/>
      <c r="L859" s="13" t="str">
        <f>IF(C859="","",IF(COUNTIFS(Parametry!$C$54:$C$113,E859)=1,INDEX(Parametry!$D$54:$D$113,MATCH(E859,Parametry!$C$54:$C$113,0)),""))</f>
        <v/>
      </c>
      <c r="M859" s="7">
        <f t="shared" si="39"/>
        <v>0</v>
      </c>
      <c r="N859" s="13">
        <f>IF(AND(ISNUMBER(D859),ISNUMBER(Parametry!$G$6)),IF(AND(YEAR(D859)=Parametry!$G$6,M859&lt;=Parametry!$G$7),1,0),0)</f>
        <v>0</v>
      </c>
      <c r="O859" s="13">
        <f>IF(C859="",IF(COUNTA(D859:J859)&gt;0,1,0),IF(OR(COUNTIFS($C$9:$C$1008,C859)&lt;&gt;1,NOT(ISNUMBER(D859)),NOT(ISNUMBER(I859)),L859="",AND(F859&lt;&gt;"",COUNTIFS(Umowy!$C$9:$C$108,F859,Umowy!$D$9:$D$108,L859)&lt;&gt;1)),1,0))</f>
        <v>0</v>
      </c>
      <c r="P859" s="7" t="str">
        <f t="shared" si="40"/>
        <v/>
      </c>
      <c r="Q859" s="7" t="str">
        <f t="shared" si="41"/>
        <v/>
      </c>
    </row>
    <row r="860" spans="1:17" ht="24" customHeight="1">
      <c r="A860" s="7"/>
      <c r="B860" s="7"/>
      <c r="C860" s="3"/>
      <c r="D860" s="2"/>
      <c r="E860" s="3"/>
      <c r="F860" s="3"/>
      <c r="G860" s="3"/>
      <c r="H860" s="3"/>
      <c r="I860" s="6"/>
      <c r="J860" s="3"/>
      <c r="K860" s="7"/>
      <c r="L860" s="13" t="str">
        <f>IF(C860="","",IF(COUNTIFS(Parametry!$C$54:$C$113,E860)=1,INDEX(Parametry!$D$54:$D$113,MATCH(E860,Parametry!$C$54:$C$113,0)),""))</f>
        <v/>
      </c>
      <c r="M860" s="7">
        <f t="shared" si="39"/>
        <v>0</v>
      </c>
      <c r="N860" s="13">
        <f>IF(AND(ISNUMBER(D860),ISNUMBER(Parametry!$G$6)),IF(AND(YEAR(D860)=Parametry!$G$6,M860&lt;=Parametry!$G$7),1,0),0)</f>
        <v>0</v>
      </c>
      <c r="O860" s="13">
        <f>IF(C860="",IF(COUNTA(D860:J860)&gt;0,1,0),IF(OR(COUNTIFS($C$9:$C$1008,C860)&lt;&gt;1,NOT(ISNUMBER(D860)),NOT(ISNUMBER(I860)),L860="",AND(F860&lt;&gt;"",COUNTIFS(Umowy!$C$9:$C$108,F860,Umowy!$D$9:$D$108,L860)&lt;&gt;1)),1,0))</f>
        <v>0</v>
      </c>
      <c r="P860" s="7" t="str">
        <f t="shared" si="40"/>
        <v/>
      </c>
      <c r="Q860" s="7" t="str">
        <f t="shared" si="41"/>
        <v/>
      </c>
    </row>
    <row r="861" spans="1:17" ht="24" customHeight="1">
      <c r="A861" s="7"/>
      <c r="B861" s="7"/>
      <c r="C861" s="3"/>
      <c r="D861" s="2"/>
      <c r="E861" s="3"/>
      <c r="F861" s="3"/>
      <c r="G861" s="3"/>
      <c r="H861" s="3"/>
      <c r="I861" s="6"/>
      <c r="J861" s="3"/>
      <c r="K861" s="7"/>
      <c r="L861" s="13" t="str">
        <f>IF(C861="","",IF(COUNTIFS(Parametry!$C$54:$C$113,E861)=1,INDEX(Parametry!$D$54:$D$113,MATCH(E861,Parametry!$C$54:$C$113,0)),""))</f>
        <v/>
      </c>
      <c r="M861" s="7">
        <f t="shared" si="39"/>
        <v>0</v>
      </c>
      <c r="N861" s="13">
        <f>IF(AND(ISNUMBER(D861),ISNUMBER(Parametry!$G$6)),IF(AND(YEAR(D861)=Parametry!$G$6,M861&lt;=Parametry!$G$7),1,0),0)</f>
        <v>0</v>
      </c>
      <c r="O861" s="13">
        <f>IF(C861="",IF(COUNTA(D861:J861)&gt;0,1,0),IF(OR(COUNTIFS($C$9:$C$1008,C861)&lt;&gt;1,NOT(ISNUMBER(D861)),NOT(ISNUMBER(I861)),L861="",AND(F861&lt;&gt;"",COUNTIFS(Umowy!$C$9:$C$108,F861,Umowy!$D$9:$D$108,L861)&lt;&gt;1)),1,0))</f>
        <v>0</v>
      </c>
      <c r="P861" s="7" t="str">
        <f t="shared" si="40"/>
        <v/>
      </c>
      <c r="Q861" s="7" t="str">
        <f t="shared" si="41"/>
        <v/>
      </c>
    </row>
    <row r="862" spans="1:17" ht="24" customHeight="1">
      <c r="A862" s="7"/>
      <c r="B862" s="7"/>
      <c r="C862" s="3"/>
      <c r="D862" s="2"/>
      <c r="E862" s="3"/>
      <c r="F862" s="3"/>
      <c r="G862" s="3"/>
      <c r="H862" s="3"/>
      <c r="I862" s="6"/>
      <c r="J862" s="3"/>
      <c r="K862" s="7"/>
      <c r="L862" s="13" t="str">
        <f>IF(C862="","",IF(COUNTIFS(Parametry!$C$54:$C$113,E862)=1,INDEX(Parametry!$D$54:$D$113,MATCH(E862,Parametry!$C$54:$C$113,0)),""))</f>
        <v/>
      </c>
      <c r="M862" s="7">
        <f t="shared" si="39"/>
        <v>0</v>
      </c>
      <c r="N862" s="13">
        <f>IF(AND(ISNUMBER(D862),ISNUMBER(Parametry!$G$6)),IF(AND(YEAR(D862)=Parametry!$G$6,M862&lt;=Parametry!$G$7),1,0),0)</f>
        <v>0</v>
      </c>
      <c r="O862" s="13">
        <f>IF(C862="",IF(COUNTA(D862:J862)&gt;0,1,0),IF(OR(COUNTIFS($C$9:$C$1008,C862)&lt;&gt;1,NOT(ISNUMBER(D862)),NOT(ISNUMBER(I862)),L862="",AND(F862&lt;&gt;"",COUNTIFS(Umowy!$C$9:$C$108,F862,Umowy!$D$9:$D$108,L862)&lt;&gt;1)),1,0))</f>
        <v>0</v>
      </c>
      <c r="P862" s="7" t="str">
        <f t="shared" si="40"/>
        <v/>
      </c>
      <c r="Q862" s="7" t="str">
        <f t="shared" si="41"/>
        <v/>
      </c>
    </row>
    <row r="863" spans="1:17" ht="24" customHeight="1">
      <c r="A863" s="7"/>
      <c r="B863" s="7"/>
      <c r="C863" s="3"/>
      <c r="D863" s="2"/>
      <c r="E863" s="3"/>
      <c r="F863" s="3"/>
      <c r="G863" s="3"/>
      <c r="H863" s="3"/>
      <c r="I863" s="6"/>
      <c r="J863" s="3"/>
      <c r="K863" s="7"/>
      <c r="L863" s="13" t="str">
        <f>IF(C863="","",IF(COUNTIFS(Parametry!$C$54:$C$113,E863)=1,INDEX(Parametry!$D$54:$D$113,MATCH(E863,Parametry!$C$54:$C$113,0)),""))</f>
        <v/>
      </c>
      <c r="M863" s="7">
        <f t="shared" si="39"/>
        <v>0</v>
      </c>
      <c r="N863" s="13">
        <f>IF(AND(ISNUMBER(D863),ISNUMBER(Parametry!$G$6)),IF(AND(YEAR(D863)=Parametry!$G$6,M863&lt;=Parametry!$G$7),1,0),0)</f>
        <v>0</v>
      </c>
      <c r="O863" s="13">
        <f>IF(C863="",IF(COUNTA(D863:J863)&gt;0,1,0),IF(OR(COUNTIFS($C$9:$C$1008,C863)&lt;&gt;1,NOT(ISNUMBER(D863)),NOT(ISNUMBER(I863)),L863="",AND(F863&lt;&gt;"",COUNTIFS(Umowy!$C$9:$C$108,F863,Umowy!$D$9:$D$108,L863)&lt;&gt;1)),1,0))</f>
        <v>0</v>
      </c>
      <c r="P863" s="7" t="str">
        <f t="shared" si="40"/>
        <v/>
      </c>
      <c r="Q863" s="7" t="str">
        <f t="shared" si="41"/>
        <v/>
      </c>
    </row>
    <row r="864" spans="1:17" ht="24" customHeight="1">
      <c r="A864" s="7"/>
      <c r="B864" s="7"/>
      <c r="C864" s="3"/>
      <c r="D864" s="2"/>
      <c r="E864" s="3"/>
      <c r="F864" s="3"/>
      <c r="G864" s="3"/>
      <c r="H864" s="3"/>
      <c r="I864" s="6"/>
      <c r="J864" s="3"/>
      <c r="K864" s="7"/>
      <c r="L864" s="13" t="str">
        <f>IF(C864="","",IF(COUNTIFS(Parametry!$C$54:$C$113,E864)=1,INDEX(Parametry!$D$54:$D$113,MATCH(E864,Parametry!$C$54:$C$113,0)),""))</f>
        <v/>
      </c>
      <c r="M864" s="7">
        <f t="shared" si="39"/>
        <v>0</v>
      </c>
      <c r="N864" s="13">
        <f>IF(AND(ISNUMBER(D864),ISNUMBER(Parametry!$G$6)),IF(AND(YEAR(D864)=Parametry!$G$6,M864&lt;=Parametry!$G$7),1,0),0)</f>
        <v>0</v>
      </c>
      <c r="O864" s="13">
        <f>IF(C864="",IF(COUNTA(D864:J864)&gt;0,1,0),IF(OR(COUNTIFS($C$9:$C$1008,C864)&lt;&gt;1,NOT(ISNUMBER(D864)),NOT(ISNUMBER(I864)),L864="",AND(F864&lt;&gt;"",COUNTIFS(Umowy!$C$9:$C$108,F864,Umowy!$D$9:$D$108,L864)&lt;&gt;1)),1,0))</f>
        <v>0</v>
      </c>
      <c r="P864" s="7" t="str">
        <f t="shared" si="40"/>
        <v/>
      </c>
      <c r="Q864" s="7" t="str">
        <f t="shared" si="41"/>
        <v/>
      </c>
    </row>
    <row r="865" spans="1:17" ht="24" customHeight="1">
      <c r="A865" s="7"/>
      <c r="B865" s="7"/>
      <c r="C865" s="3"/>
      <c r="D865" s="2"/>
      <c r="E865" s="3"/>
      <c r="F865" s="3"/>
      <c r="G865" s="3"/>
      <c r="H865" s="3"/>
      <c r="I865" s="6"/>
      <c r="J865" s="3"/>
      <c r="K865" s="7"/>
      <c r="L865" s="13" t="str">
        <f>IF(C865="","",IF(COUNTIFS(Parametry!$C$54:$C$113,E865)=1,INDEX(Parametry!$D$54:$D$113,MATCH(E865,Parametry!$C$54:$C$113,0)),""))</f>
        <v/>
      </c>
      <c r="M865" s="7">
        <f t="shared" si="39"/>
        <v>0</v>
      </c>
      <c r="N865" s="13">
        <f>IF(AND(ISNUMBER(D865),ISNUMBER(Parametry!$G$6)),IF(AND(YEAR(D865)=Parametry!$G$6,M865&lt;=Parametry!$G$7),1,0),0)</f>
        <v>0</v>
      </c>
      <c r="O865" s="13">
        <f>IF(C865="",IF(COUNTA(D865:J865)&gt;0,1,0),IF(OR(COUNTIFS($C$9:$C$1008,C865)&lt;&gt;1,NOT(ISNUMBER(D865)),NOT(ISNUMBER(I865)),L865="",AND(F865&lt;&gt;"",COUNTIFS(Umowy!$C$9:$C$108,F865,Umowy!$D$9:$D$108,L865)&lt;&gt;1)),1,0))</f>
        <v>0</v>
      </c>
      <c r="P865" s="7" t="str">
        <f t="shared" si="40"/>
        <v/>
      </c>
      <c r="Q865" s="7" t="str">
        <f t="shared" si="41"/>
        <v/>
      </c>
    </row>
    <row r="866" spans="1:17" ht="24" customHeight="1">
      <c r="A866" s="7"/>
      <c r="B866" s="7"/>
      <c r="C866" s="3"/>
      <c r="D866" s="2"/>
      <c r="E866" s="3"/>
      <c r="F866" s="3"/>
      <c r="G866" s="3"/>
      <c r="H866" s="3"/>
      <c r="I866" s="6"/>
      <c r="J866" s="3"/>
      <c r="K866" s="7"/>
      <c r="L866" s="13" t="str">
        <f>IF(C866="","",IF(COUNTIFS(Parametry!$C$54:$C$113,E866)=1,INDEX(Parametry!$D$54:$D$113,MATCH(E866,Parametry!$C$54:$C$113,0)),""))</f>
        <v/>
      </c>
      <c r="M866" s="7">
        <f t="shared" si="39"/>
        <v>0</v>
      </c>
      <c r="N866" s="13">
        <f>IF(AND(ISNUMBER(D866),ISNUMBER(Parametry!$G$6)),IF(AND(YEAR(D866)=Parametry!$G$6,M866&lt;=Parametry!$G$7),1,0),0)</f>
        <v>0</v>
      </c>
      <c r="O866" s="13">
        <f>IF(C866="",IF(COUNTA(D866:J866)&gt;0,1,0),IF(OR(COUNTIFS($C$9:$C$1008,C866)&lt;&gt;1,NOT(ISNUMBER(D866)),NOT(ISNUMBER(I866)),L866="",AND(F866&lt;&gt;"",COUNTIFS(Umowy!$C$9:$C$108,F866,Umowy!$D$9:$D$108,L866)&lt;&gt;1)),1,0))</f>
        <v>0</v>
      </c>
      <c r="P866" s="7" t="str">
        <f t="shared" si="40"/>
        <v/>
      </c>
      <c r="Q866" s="7" t="str">
        <f t="shared" si="41"/>
        <v/>
      </c>
    </row>
    <row r="867" spans="1:17" ht="24" customHeight="1">
      <c r="A867" s="7"/>
      <c r="B867" s="7"/>
      <c r="C867" s="3"/>
      <c r="D867" s="2"/>
      <c r="E867" s="3"/>
      <c r="F867" s="3"/>
      <c r="G867" s="3"/>
      <c r="H867" s="3"/>
      <c r="I867" s="6"/>
      <c r="J867" s="3"/>
      <c r="K867" s="7"/>
      <c r="L867" s="13" t="str">
        <f>IF(C867="","",IF(COUNTIFS(Parametry!$C$54:$C$113,E867)=1,INDEX(Parametry!$D$54:$D$113,MATCH(E867,Parametry!$C$54:$C$113,0)),""))</f>
        <v/>
      </c>
      <c r="M867" s="7">
        <f t="shared" si="39"/>
        <v>0</v>
      </c>
      <c r="N867" s="13">
        <f>IF(AND(ISNUMBER(D867),ISNUMBER(Parametry!$G$6)),IF(AND(YEAR(D867)=Parametry!$G$6,M867&lt;=Parametry!$G$7),1,0),0)</f>
        <v>0</v>
      </c>
      <c r="O867" s="13">
        <f>IF(C867="",IF(COUNTA(D867:J867)&gt;0,1,0),IF(OR(COUNTIFS($C$9:$C$1008,C867)&lt;&gt;1,NOT(ISNUMBER(D867)),NOT(ISNUMBER(I867)),L867="",AND(F867&lt;&gt;"",COUNTIFS(Umowy!$C$9:$C$108,F867,Umowy!$D$9:$D$108,L867)&lt;&gt;1)),1,0))</f>
        <v>0</v>
      </c>
      <c r="P867" s="7" t="str">
        <f t="shared" si="40"/>
        <v/>
      </c>
      <c r="Q867" s="7" t="str">
        <f t="shared" si="41"/>
        <v/>
      </c>
    </row>
    <row r="868" spans="1:17" ht="24" customHeight="1">
      <c r="A868" s="7"/>
      <c r="B868" s="7"/>
      <c r="C868" s="3"/>
      <c r="D868" s="2"/>
      <c r="E868" s="3"/>
      <c r="F868" s="3"/>
      <c r="G868" s="3"/>
      <c r="H868" s="3"/>
      <c r="I868" s="6"/>
      <c r="J868" s="3"/>
      <c r="K868" s="7"/>
      <c r="L868" s="13" t="str">
        <f>IF(C868="","",IF(COUNTIFS(Parametry!$C$54:$C$113,E868)=1,INDEX(Parametry!$D$54:$D$113,MATCH(E868,Parametry!$C$54:$C$113,0)),""))</f>
        <v/>
      </c>
      <c r="M868" s="7">
        <f t="shared" si="39"/>
        <v>0</v>
      </c>
      <c r="N868" s="13">
        <f>IF(AND(ISNUMBER(D868),ISNUMBER(Parametry!$G$6)),IF(AND(YEAR(D868)=Parametry!$G$6,M868&lt;=Parametry!$G$7),1,0),0)</f>
        <v>0</v>
      </c>
      <c r="O868" s="13">
        <f>IF(C868="",IF(COUNTA(D868:J868)&gt;0,1,0),IF(OR(COUNTIFS($C$9:$C$1008,C868)&lt;&gt;1,NOT(ISNUMBER(D868)),NOT(ISNUMBER(I868)),L868="",AND(F868&lt;&gt;"",COUNTIFS(Umowy!$C$9:$C$108,F868,Umowy!$D$9:$D$108,L868)&lt;&gt;1)),1,0))</f>
        <v>0</v>
      </c>
      <c r="P868" s="7" t="str">
        <f t="shared" si="40"/>
        <v/>
      </c>
      <c r="Q868" s="7" t="str">
        <f t="shared" si="41"/>
        <v/>
      </c>
    </row>
    <row r="869" spans="1:17" ht="24" customHeight="1">
      <c r="A869" s="7"/>
      <c r="B869" s="7"/>
      <c r="C869" s="3"/>
      <c r="D869" s="2"/>
      <c r="E869" s="3"/>
      <c r="F869" s="3"/>
      <c r="G869" s="3"/>
      <c r="H869" s="3"/>
      <c r="I869" s="6"/>
      <c r="J869" s="3"/>
      <c r="K869" s="7"/>
      <c r="L869" s="13" t="str">
        <f>IF(C869="","",IF(COUNTIFS(Parametry!$C$54:$C$113,E869)=1,INDEX(Parametry!$D$54:$D$113,MATCH(E869,Parametry!$C$54:$C$113,0)),""))</f>
        <v/>
      </c>
      <c r="M869" s="7">
        <f t="shared" si="39"/>
        <v>0</v>
      </c>
      <c r="N869" s="13">
        <f>IF(AND(ISNUMBER(D869),ISNUMBER(Parametry!$G$6)),IF(AND(YEAR(D869)=Parametry!$G$6,M869&lt;=Parametry!$G$7),1,0),0)</f>
        <v>0</v>
      </c>
      <c r="O869" s="13">
        <f>IF(C869="",IF(COUNTA(D869:J869)&gt;0,1,0),IF(OR(COUNTIFS($C$9:$C$1008,C869)&lt;&gt;1,NOT(ISNUMBER(D869)),NOT(ISNUMBER(I869)),L869="",AND(F869&lt;&gt;"",COUNTIFS(Umowy!$C$9:$C$108,F869,Umowy!$D$9:$D$108,L869)&lt;&gt;1)),1,0))</f>
        <v>0</v>
      </c>
      <c r="P869" s="7" t="str">
        <f t="shared" si="40"/>
        <v/>
      </c>
      <c r="Q869" s="7" t="str">
        <f t="shared" si="41"/>
        <v/>
      </c>
    </row>
    <row r="870" spans="1:17" ht="24" customHeight="1">
      <c r="A870" s="7"/>
      <c r="B870" s="7"/>
      <c r="C870" s="3"/>
      <c r="D870" s="2"/>
      <c r="E870" s="3"/>
      <c r="F870" s="3"/>
      <c r="G870" s="3"/>
      <c r="H870" s="3"/>
      <c r="I870" s="6"/>
      <c r="J870" s="3"/>
      <c r="K870" s="7"/>
      <c r="L870" s="13" t="str">
        <f>IF(C870="","",IF(COUNTIFS(Parametry!$C$54:$C$113,E870)=1,INDEX(Parametry!$D$54:$D$113,MATCH(E870,Parametry!$C$54:$C$113,0)),""))</f>
        <v/>
      </c>
      <c r="M870" s="7">
        <f t="shared" si="39"/>
        <v>0</v>
      </c>
      <c r="N870" s="13">
        <f>IF(AND(ISNUMBER(D870),ISNUMBER(Parametry!$G$6)),IF(AND(YEAR(D870)=Parametry!$G$6,M870&lt;=Parametry!$G$7),1,0),0)</f>
        <v>0</v>
      </c>
      <c r="O870" s="13">
        <f>IF(C870="",IF(COUNTA(D870:J870)&gt;0,1,0),IF(OR(COUNTIFS($C$9:$C$1008,C870)&lt;&gt;1,NOT(ISNUMBER(D870)),NOT(ISNUMBER(I870)),L870="",AND(F870&lt;&gt;"",COUNTIFS(Umowy!$C$9:$C$108,F870,Umowy!$D$9:$D$108,L870)&lt;&gt;1)),1,0))</f>
        <v>0</v>
      </c>
      <c r="P870" s="7" t="str">
        <f t="shared" si="40"/>
        <v/>
      </c>
      <c r="Q870" s="7" t="str">
        <f t="shared" si="41"/>
        <v/>
      </c>
    </row>
    <row r="871" spans="1:17" ht="24" customHeight="1">
      <c r="A871" s="7"/>
      <c r="B871" s="7"/>
      <c r="C871" s="3"/>
      <c r="D871" s="2"/>
      <c r="E871" s="3"/>
      <c r="F871" s="3"/>
      <c r="G871" s="3"/>
      <c r="H871" s="3"/>
      <c r="I871" s="6"/>
      <c r="J871" s="3"/>
      <c r="K871" s="7"/>
      <c r="L871" s="13" t="str">
        <f>IF(C871="","",IF(COUNTIFS(Parametry!$C$54:$C$113,E871)=1,INDEX(Parametry!$D$54:$D$113,MATCH(E871,Parametry!$C$54:$C$113,0)),""))</f>
        <v/>
      </c>
      <c r="M871" s="7">
        <f t="shared" si="39"/>
        <v>0</v>
      </c>
      <c r="N871" s="13">
        <f>IF(AND(ISNUMBER(D871),ISNUMBER(Parametry!$G$6)),IF(AND(YEAR(D871)=Parametry!$G$6,M871&lt;=Parametry!$G$7),1,0),0)</f>
        <v>0</v>
      </c>
      <c r="O871" s="13">
        <f>IF(C871="",IF(COUNTA(D871:J871)&gt;0,1,0),IF(OR(COUNTIFS($C$9:$C$1008,C871)&lt;&gt;1,NOT(ISNUMBER(D871)),NOT(ISNUMBER(I871)),L871="",AND(F871&lt;&gt;"",COUNTIFS(Umowy!$C$9:$C$108,F871,Umowy!$D$9:$D$108,L871)&lt;&gt;1)),1,0))</f>
        <v>0</v>
      </c>
      <c r="P871" s="7" t="str">
        <f t="shared" si="40"/>
        <v/>
      </c>
      <c r="Q871" s="7" t="str">
        <f t="shared" si="41"/>
        <v/>
      </c>
    </row>
    <row r="872" spans="1:17" ht="24" customHeight="1">
      <c r="A872" s="7"/>
      <c r="B872" s="7"/>
      <c r="C872" s="3"/>
      <c r="D872" s="2"/>
      <c r="E872" s="3"/>
      <c r="F872" s="3"/>
      <c r="G872" s="3"/>
      <c r="H872" s="3"/>
      <c r="I872" s="6"/>
      <c r="J872" s="3"/>
      <c r="K872" s="7"/>
      <c r="L872" s="13" t="str">
        <f>IF(C872="","",IF(COUNTIFS(Parametry!$C$54:$C$113,E872)=1,INDEX(Parametry!$D$54:$D$113,MATCH(E872,Parametry!$C$54:$C$113,0)),""))</f>
        <v/>
      </c>
      <c r="M872" s="7">
        <f t="shared" si="39"/>
        <v>0</v>
      </c>
      <c r="N872" s="13">
        <f>IF(AND(ISNUMBER(D872),ISNUMBER(Parametry!$G$6)),IF(AND(YEAR(D872)=Parametry!$G$6,M872&lt;=Parametry!$G$7),1,0),0)</f>
        <v>0</v>
      </c>
      <c r="O872" s="13">
        <f>IF(C872="",IF(COUNTA(D872:J872)&gt;0,1,0),IF(OR(COUNTIFS($C$9:$C$1008,C872)&lt;&gt;1,NOT(ISNUMBER(D872)),NOT(ISNUMBER(I872)),L872="",AND(F872&lt;&gt;"",COUNTIFS(Umowy!$C$9:$C$108,F872,Umowy!$D$9:$D$108,L872)&lt;&gt;1)),1,0))</f>
        <v>0</v>
      </c>
      <c r="P872" s="7" t="str">
        <f t="shared" si="40"/>
        <v/>
      </c>
      <c r="Q872" s="7" t="str">
        <f t="shared" si="41"/>
        <v/>
      </c>
    </row>
    <row r="873" spans="1:17" ht="24" customHeight="1">
      <c r="A873" s="7"/>
      <c r="B873" s="7"/>
      <c r="C873" s="3"/>
      <c r="D873" s="2"/>
      <c r="E873" s="3"/>
      <c r="F873" s="3"/>
      <c r="G873" s="3"/>
      <c r="H873" s="3"/>
      <c r="I873" s="6"/>
      <c r="J873" s="3"/>
      <c r="K873" s="7"/>
      <c r="L873" s="13" t="str">
        <f>IF(C873="","",IF(COUNTIFS(Parametry!$C$54:$C$113,E873)=1,INDEX(Parametry!$D$54:$D$113,MATCH(E873,Parametry!$C$54:$C$113,0)),""))</f>
        <v/>
      </c>
      <c r="M873" s="7">
        <f t="shared" si="39"/>
        <v>0</v>
      </c>
      <c r="N873" s="13">
        <f>IF(AND(ISNUMBER(D873),ISNUMBER(Parametry!$G$6)),IF(AND(YEAR(D873)=Parametry!$G$6,M873&lt;=Parametry!$G$7),1,0),0)</f>
        <v>0</v>
      </c>
      <c r="O873" s="13">
        <f>IF(C873="",IF(COUNTA(D873:J873)&gt;0,1,0),IF(OR(COUNTIFS($C$9:$C$1008,C873)&lt;&gt;1,NOT(ISNUMBER(D873)),NOT(ISNUMBER(I873)),L873="",AND(F873&lt;&gt;"",COUNTIFS(Umowy!$C$9:$C$108,F873,Umowy!$D$9:$D$108,L873)&lt;&gt;1)),1,0))</f>
        <v>0</v>
      </c>
      <c r="P873" s="7" t="str">
        <f t="shared" si="40"/>
        <v/>
      </c>
      <c r="Q873" s="7" t="str">
        <f t="shared" si="41"/>
        <v/>
      </c>
    </row>
    <row r="874" spans="1:17" ht="24" customHeight="1">
      <c r="A874" s="7"/>
      <c r="B874" s="7"/>
      <c r="C874" s="3"/>
      <c r="D874" s="2"/>
      <c r="E874" s="3"/>
      <c r="F874" s="3"/>
      <c r="G874" s="3"/>
      <c r="H874" s="3"/>
      <c r="I874" s="6"/>
      <c r="J874" s="3"/>
      <c r="K874" s="7"/>
      <c r="L874" s="13" t="str">
        <f>IF(C874="","",IF(COUNTIFS(Parametry!$C$54:$C$113,E874)=1,INDEX(Parametry!$D$54:$D$113,MATCH(E874,Parametry!$C$54:$C$113,0)),""))</f>
        <v/>
      </c>
      <c r="M874" s="7">
        <f t="shared" si="39"/>
        <v>0</v>
      </c>
      <c r="N874" s="13">
        <f>IF(AND(ISNUMBER(D874),ISNUMBER(Parametry!$G$6)),IF(AND(YEAR(D874)=Parametry!$G$6,M874&lt;=Parametry!$G$7),1,0),0)</f>
        <v>0</v>
      </c>
      <c r="O874" s="13">
        <f>IF(C874="",IF(COUNTA(D874:J874)&gt;0,1,0),IF(OR(COUNTIFS($C$9:$C$1008,C874)&lt;&gt;1,NOT(ISNUMBER(D874)),NOT(ISNUMBER(I874)),L874="",AND(F874&lt;&gt;"",COUNTIFS(Umowy!$C$9:$C$108,F874,Umowy!$D$9:$D$108,L874)&lt;&gt;1)),1,0))</f>
        <v>0</v>
      </c>
      <c r="P874" s="7" t="str">
        <f t="shared" si="40"/>
        <v/>
      </c>
      <c r="Q874" s="7" t="str">
        <f t="shared" si="41"/>
        <v/>
      </c>
    </row>
    <row r="875" spans="1:17" ht="24" customHeight="1">
      <c r="A875" s="7"/>
      <c r="B875" s="7"/>
      <c r="C875" s="3"/>
      <c r="D875" s="2"/>
      <c r="E875" s="3"/>
      <c r="F875" s="3"/>
      <c r="G875" s="3"/>
      <c r="H875" s="3"/>
      <c r="I875" s="6"/>
      <c r="J875" s="3"/>
      <c r="K875" s="7"/>
      <c r="L875" s="13" t="str">
        <f>IF(C875="","",IF(COUNTIFS(Parametry!$C$54:$C$113,E875)=1,INDEX(Parametry!$D$54:$D$113,MATCH(E875,Parametry!$C$54:$C$113,0)),""))</f>
        <v/>
      </c>
      <c r="M875" s="7">
        <f t="shared" si="39"/>
        <v>0</v>
      </c>
      <c r="N875" s="13">
        <f>IF(AND(ISNUMBER(D875),ISNUMBER(Parametry!$G$6)),IF(AND(YEAR(D875)=Parametry!$G$6,M875&lt;=Parametry!$G$7),1,0),0)</f>
        <v>0</v>
      </c>
      <c r="O875" s="13">
        <f>IF(C875="",IF(COUNTA(D875:J875)&gt;0,1,0),IF(OR(COUNTIFS($C$9:$C$1008,C875)&lt;&gt;1,NOT(ISNUMBER(D875)),NOT(ISNUMBER(I875)),L875="",AND(F875&lt;&gt;"",COUNTIFS(Umowy!$C$9:$C$108,F875,Umowy!$D$9:$D$108,L875)&lt;&gt;1)),1,0))</f>
        <v>0</v>
      </c>
      <c r="P875" s="7" t="str">
        <f t="shared" si="40"/>
        <v/>
      </c>
      <c r="Q875" s="7" t="str">
        <f t="shared" si="41"/>
        <v/>
      </c>
    </row>
    <row r="876" spans="1:17" ht="24" customHeight="1">
      <c r="A876" s="7"/>
      <c r="B876" s="7"/>
      <c r="C876" s="3"/>
      <c r="D876" s="2"/>
      <c r="E876" s="3"/>
      <c r="F876" s="3"/>
      <c r="G876" s="3"/>
      <c r="H876" s="3"/>
      <c r="I876" s="6"/>
      <c r="J876" s="3"/>
      <c r="K876" s="7"/>
      <c r="L876" s="13" t="str">
        <f>IF(C876="","",IF(COUNTIFS(Parametry!$C$54:$C$113,E876)=1,INDEX(Parametry!$D$54:$D$113,MATCH(E876,Parametry!$C$54:$C$113,0)),""))</f>
        <v/>
      </c>
      <c r="M876" s="7">
        <f t="shared" si="39"/>
        <v>0</v>
      </c>
      <c r="N876" s="13">
        <f>IF(AND(ISNUMBER(D876),ISNUMBER(Parametry!$G$6)),IF(AND(YEAR(D876)=Parametry!$G$6,M876&lt;=Parametry!$G$7),1,0),0)</f>
        <v>0</v>
      </c>
      <c r="O876" s="13">
        <f>IF(C876="",IF(COUNTA(D876:J876)&gt;0,1,0),IF(OR(COUNTIFS($C$9:$C$1008,C876)&lt;&gt;1,NOT(ISNUMBER(D876)),NOT(ISNUMBER(I876)),L876="",AND(F876&lt;&gt;"",COUNTIFS(Umowy!$C$9:$C$108,F876,Umowy!$D$9:$D$108,L876)&lt;&gt;1)),1,0))</f>
        <v>0</v>
      </c>
      <c r="P876" s="7" t="str">
        <f t="shared" si="40"/>
        <v/>
      </c>
      <c r="Q876" s="7" t="str">
        <f t="shared" si="41"/>
        <v/>
      </c>
    </row>
    <row r="877" spans="1:17" ht="24" customHeight="1">
      <c r="A877" s="7"/>
      <c r="B877" s="7"/>
      <c r="C877" s="3"/>
      <c r="D877" s="2"/>
      <c r="E877" s="3"/>
      <c r="F877" s="3"/>
      <c r="G877" s="3"/>
      <c r="H877" s="3"/>
      <c r="I877" s="6"/>
      <c r="J877" s="3"/>
      <c r="K877" s="7"/>
      <c r="L877" s="13" t="str">
        <f>IF(C877="","",IF(COUNTIFS(Parametry!$C$54:$C$113,E877)=1,INDEX(Parametry!$D$54:$D$113,MATCH(E877,Parametry!$C$54:$C$113,0)),""))</f>
        <v/>
      </c>
      <c r="M877" s="7">
        <f t="shared" si="39"/>
        <v>0</v>
      </c>
      <c r="N877" s="13">
        <f>IF(AND(ISNUMBER(D877),ISNUMBER(Parametry!$G$6)),IF(AND(YEAR(D877)=Parametry!$G$6,M877&lt;=Parametry!$G$7),1,0),0)</f>
        <v>0</v>
      </c>
      <c r="O877" s="13">
        <f>IF(C877="",IF(COUNTA(D877:J877)&gt;0,1,0),IF(OR(COUNTIFS($C$9:$C$1008,C877)&lt;&gt;1,NOT(ISNUMBER(D877)),NOT(ISNUMBER(I877)),L877="",AND(F877&lt;&gt;"",COUNTIFS(Umowy!$C$9:$C$108,F877,Umowy!$D$9:$D$108,L877)&lt;&gt;1)),1,0))</f>
        <v>0</v>
      </c>
      <c r="P877" s="7" t="str">
        <f t="shared" si="40"/>
        <v/>
      </c>
      <c r="Q877" s="7" t="str">
        <f t="shared" si="41"/>
        <v/>
      </c>
    </row>
    <row r="878" spans="1:17" ht="24" customHeight="1">
      <c r="A878" s="7"/>
      <c r="B878" s="7"/>
      <c r="C878" s="3"/>
      <c r="D878" s="2"/>
      <c r="E878" s="3"/>
      <c r="F878" s="3"/>
      <c r="G878" s="3"/>
      <c r="H878" s="3"/>
      <c r="I878" s="6"/>
      <c r="J878" s="3"/>
      <c r="K878" s="7"/>
      <c r="L878" s="13" t="str">
        <f>IF(C878="","",IF(COUNTIFS(Parametry!$C$54:$C$113,E878)=1,INDEX(Parametry!$D$54:$D$113,MATCH(E878,Parametry!$C$54:$C$113,0)),""))</f>
        <v/>
      </c>
      <c r="M878" s="7">
        <f t="shared" si="39"/>
        <v>0</v>
      </c>
      <c r="N878" s="13">
        <f>IF(AND(ISNUMBER(D878),ISNUMBER(Parametry!$G$6)),IF(AND(YEAR(D878)=Parametry!$G$6,M878&lt;=Parametry!$G$7),1,0),0)</f>
        <v>0</v>
      </c>
      <c r="O878" s="13">
        <f>IF(C878="",IF(COUNTA(D878:J878)&gt;0,1,0),IF(OR(COUNTIFS($C$9:$C$1008,C878)&lt;&gt;1,NOT(ISNUMBER(D878)),NOT(ISNUMBER(I878)),L878="",AND(F878&lt;&gt;"",COUNTIFS(Umowy!$C$9:$C$108,F878,Umowy!$D$9:$D$108,L878)&lt;&gt;1)),1,0))</f>
        <v>0</v>
      </c>
      <c r="P878" s="7" t="str">
        <f t="shared" si="40"/>
        <v/>
      </c>
      <c r="Q878" s="7" t="str">
        <f t="shared" si="41"/>
        <v/>
      </c>
    </row>
    <row r="879" spans="1:17" ht="24" customHeight="1">
      <c r="A879" s="7"/>
      <c r="B879" s="7"/>
      <c r="C879" s="3"/>
      <c r="D879" s="2"/>
      <c r="E879" s="3"/>
      <c r="F879" s="3"/>
      <c r="G879" s="3"/>
      <c r="H879" s="3"/>
      <c r="I879" s="6"/>
      <c r="J879" s="3"/>
      <c r="K879" s="7"/>
      <c r="L879" s="13" t="str">
        <f>IF(C879="","",IF(COUNTIFS(Parametry!$C$54:$C$113,E879)=1,INDEX(Parametry!$D$54:$D$113,MATCH(E879,Parametry!$C$54:$C$113,0)),""))</f>
        <v/>
      </c>
      <c r="M879" s="7">
        <f t="shared" si="39"/>
        <v>0</v>
      </c>
      <c r="N879" s="13">
        <f>IF(AND(ISNUMBER(D879),ISNUMBER(Parametry!$G$6)),IF(AND(YEAR(D879)=Parametry!$G$6,M879&lt;=Parametry!$G$7),1,0),0)</f>
        <v>0</v>
      </c>
      <c r="O879" s="13">
        <f>IF(C879="",IF(COUNTA(D879:J879)&gt;0,1,0),IF(OR(COUNTIFS($C$9:$C$1008,C879)&lt;&gt;1,NOT(ISNUMBER(D879)),NOT(ISNUMBER(I879)),L879="",AND(F879&lt;&gt;"",COUNTIFS(Umowy!$C$9:$C$108,F879,Umowy!$D$9:$D$108,L879)&lt;&gt;1)),1,0))</f>
        <v>0</v>
      </c>
      <c r="P879" s="7" t="str">
        <f t="shared" si="40"/>
        <v/>
      </c>
      <c r="Q879" s="7" t="str">
        <f t="shared" si="41"/>
        <v/>
      </c>
    </row>
    <row r="880" spans="1:17" ht="24" customHeight="1">
      <c r="A880" s="7"/>
      <c r="B880" s="7"/>
      <c r="C880" s="3"/>
      <c r="D880" s="2"/>
      <c r="E880" s="3"/>
      <c r="F880" s="3"/>
      <c r="G880" s="3"/>
      <c r="H880" s="3"/>
      <c r="I880" s="6"/>
      <c r="J880" s="3"/>
      <c r="K880" s="7"/>
      <c r="L880" s="13" t="str">
        <f>IF(C880="","",IF(COUNTIFS(Parametry!$C$54:$C$113,E880)=1,INDEX(Parametry!$D$54:$D$113,MATCH(E880,Parametry!$C$54:$C$113,0)),""))</f>
        <v/>
      </c>
      <c r="M880" s="7">
        <f t="shared" si="39"/>
        <v>0</v>
      </c>
      <c r="N880" s="13">
        <f>IF(AND(ISNUMBER(D880),ISNUMBER(Parametry!$G$6)),IF(AND(YEAR(D880)=Parametry!$G$6,M880&lt;=Parametry!$G$7),1,0),0)</f>
        <v>0</v>
      </c>
      <c r="O880" s="13">
        <f>IF(C880="",IF(COUNTA(D880:J880)&gt;0,1,0),IF(OR(COUNTIFS($C$9:$C$1008,C880)&lt;&gt;1,NOT(ISNUMBER(D880)),NOT(ISNUMBER(I880)),L880="",AND(F880&lt;&gt;"",COUNTIFS(Umowy!$C$9:$C$108,F880,Umowy!$D$9:$D$108,L880)&lt;&gt;1)),1,0))</f>
        <v>0</v>
      </c>
      <c r="P880" s="7" t="str">
        <f t="shared" si="40"/>
        <v/>
      </c>
      <c r="Q880" s="7" t="str">
        <f t="shared" si="41"/>
        <v/>
      </c>
    </row>
    <row r="881" spans="1:17" ht="24" customHeight="1">
      <c r="A881" s="7"/>
      <c r="B881" s="7"/>
      <c r="C881" s="3"/>
      <c r="D881" s="2"/>
      <c r="E881" s="3"/>
      <c r="F881" s="3"/>
      <c r="G881" s="3"/>
      <c r="H881" s="3"/>
      <c r="I881" s="6"/>
      <c r="J881" s="3"/>
      <c r="K881" s="7"/>
      <c r="L881" s="13" t="str">
        <f>IF(C881="","",IF(COUNTIFS(Parametry!$C$54:$C$113,E881)=1,INDEX(Parametry!$D$54:$D$113,MATCH(E881,Parametry!$C$54:$C$113,0)),""))</f>
        <v/>
      </c>
      <c r="M881" s="7">
        <f t="shared" si="39"/>
        <v>0</v>
      </c>
      <c r="N881" s="13">
        <f>IF(AND(ISNUMBER(D881),ISNUMBER(Parametry!$G$6)),IF(AND(YEAR(D881)=Parametry!$G$6,M881&lt;=Parametry!$G$7),1,0),0)</f>
        <v>0</v>
      </c>
      <c r="O881" s="13">
        <f>IF(C881="",IF(COUNTA(D881:J881)&gt;0,1,0),IF(OR(COUNTIFS($C$9:$C$1008,C881)&lt;&gt;1,NOT(ISNUMBER(D881)),NOT(ISNUMBER(I881)),L881="",AND(F881&lt;&gt;"",COUNTIFS(Umowy!$C$9:$C$108,F881,Umowy!$D$9:$D$108,L881)&lt;&gt;1)),1,0))</f>
        <v>0</v>
      </c>
      <c r="P881" s="7" t="str">
        <f t="shared" si="40"/>
        <v/>
      </c>
      <c r="Q881" s="7" t="str">
        <f t="shared" si="41"/>
        <v/>
      </c>
    </row>
    <row r="882" spans="1:17" ht="24" customHeight="1">
      <c r="A882" s="7"/>
      <c r="B882" s="7"/>
      <c r="C882" s="3"/>
      <c r="D882" s="2"/>
      <c r="E882" s="3"/>
      <c r="F882" s="3"/>
      <c r="G882" s="3"/>
      <c r="H882" s="3"/>
      <c r="I882" s="6"/>
      <c r="J882" s="3"/>
      <c r="K882" s="7"/>
      <c r="L882" s="13" t="str">
        <f>IF(C882="","",IF(COUNTIFS(Parametry!$C$54:$C$113,E882)=1,INDEX(Parametry!$D$54:$D$113,MATCH(E882,Parametry!$C$54:$C$113,0)),""))</f>
        <v/>
      </c>
      <c r="M882" s="7">
        <f t="shared" si="39"/>
        <v>0</v>
      </c>
      <c r="N882" s="13">
        <f>IF(AND(ISNUMBER(D882),ISNUMBER(Parametry!$G$6)),IF(AND(YEAR(D882)=Parametry!$G$6,M882&lt;=Parametry!$G$7),1,0),0)</f>
        <v>0</v>
      </c>
      <c r="O882" s="13">
        <f>IF(C882="",IF(COUNTA(D882:J882)&gt;0,1,0),IF(OR(COUNTIFS($C$9:$C$1008,C882)&lt;&gt;1,NOT(ISNUMBER(D882)),NOT(ISNUMBER(I882)),L882="",AND(F882&lt;&gt;"",COUNTIFS(Umowy!$C$9:$C$108,F882,Umowy!$D$9:$D$108,L882)&lt;&gt;1)),1,0))</f>
        <v>0</v>
      </c>
      <c r="P882" s="7" t="str">
        <f t="shared" si="40"/>
        <v/>
      </c>
      <c r="Q882" s="7" t="str">
        <f t="shared" si="41"/>
        <v/>
      </c>
    </row>
    <row r="883" spans="1:17" ht="24" customHeight="1">
      <c r="A883" s="7"/>
      <c r="B883" s="7"/>
      <c r="C883" s="3"/>
      <c r="D883" s="2"/>
      <c r="E883" s="3"/>
      <c r="F883" s="3"/>
      <c r="G883" s="3"/>
      <c r="H883" s="3"/>
      <c r="I883" s="6"/>
      <c r="J883" s="3"/>
      <c r="K883" s="7"/>
      <c r="L883" s="13" t="str">
        <f>IF(C883="","",IF(COUNTIFS(Parametry!$C$54:$C$113,E883)=1,INDEX(Parametry!$D$54:$D$113,MATCH(E883,Parametry!$C$54:$C$113,0)),""))</f>
        <v/>
      </c>
      <c r="M883" s="7">
        <f t="shared" si="39"/>
        <v>0</v>
      </c>
      <c r="N883" s="13">
        <f>IF(AND(ISNUMBER(D883),ISNUMBER(Parametry!$G$6)),IF(AND(YEAR(D883)=Parametry!$G$6,M883&lt;=Parametry!$G$7),1,0),0)</f>
        <v>0</v>
      </c>
      <c r="O883" s="13">
        <f>IF(C883="",IF(COUNTA(D883:J883)&gt;0,1,0),IF(OR(COUNTIFS($C$9:$C$1008,C883)&lt;&gt;1,NOT(ISNUMBER(D883)),NOT(ISNUMBER(I883)),L883="",AND(F883&lt;&gt;"",COUNTIFS(Umowy!$C$9:$C$108,F883,Umowy!$D$9:$D$108,L883)&lt;&gt;1)),1,0))</f>
        <v>0</v>
      </c>
      <c r="P883" s="7" t="str">
        <f t="shared" si="40"/>
        <v/>
      </c>
      <c r="Q883" s="7" t="str">
        <f t="shared" si="41"/>
        <v/>
      </c>
    </row>
    <row r="884" spans="1:17" ht="24" customHeight="1">
      <c r="A884" s="7"/>
      <c r="B884" s="7"/>
      <c r="C884" s="3"/>
      <c r="D884" s="2"/>
      <c r="E884" s="3"/>
      <c r="F884" s="3"/>
      <c r="G884" s="3"/>
      <c r="H884" s="3"/>
      <c r="I884" s="6"/>
      <c r="J884" s="3"/>
      <c r="K884" s="7"/>
      <c r="L884" s="13" t="str">
        <f>IF(C884="","",IF(COUNTIFS(Parametry!$C$54:$C$113,E884)=1,INDEX(Parametry!$D$54:$D$113,MATCH(E884,Parametry!$C$54:$C$113,0)),""))</f>
        <v/>
      </c>
      <c r="M884" s="7">
        <f t="shared" si="39"/>
        <v>0</v>
      </c>
      <c r="N884" s="13">
        <f>IF(AND(ISNUMBER(D884),ISNUMBER(Parametry!$G$6)),IF(AND(YEAR(D884)=Parametry!$G$6,M884&lt;=Parametry!$G$7),1,0),0)</f>
        <v>0</v>
      </c>
      <c r="O884" s="13">
        <f>IF(C884="",IF(COUNTA(D884:J884)&gt;0,1,0),IF(OR(COUNTIFS($C$9:$C$1008,C884)&lt;&gt;1,NOT(ISNUMBER(D884)),NOT(ISNUMBER(I884)),L884="",AND(F884&lt;&gt;"",COUNTIFS(Umowy!$C$9:$C$108,F884,Umowy!$D$9:$D$108,L884)&lt;&gt;1)),1,0))</f>
        <v>0</v>
      </c>
      <c r="P884" s="7" t="str">
        <f t="shared" si="40"/>
        <v/>
      </c>
      <c r="Q884" s="7" t="str">
        <f t="shared" si="41"/>
        <v/>
      </c>
    </row>
    <row r="885" spans="1:17" ht="24" customHeight="1">
      <c r="A885" s="7"/>
      <c r="B885" s="7"/>
      <c r="C885" s="3"/>
      <c r="D885" s="2"/>
      <c r="E885" s="3"/>
      <c r="F885" s="3"/>
      <c r="G885" s="3"/>
      <c r="H885" s="3"/>
      <c r="I885" s="6"/>
      <c r="J885" s="3"/>
      <c r="K885" s="7"/>
      <c r="L885" s="13" t="str">
        <f>IF(C885="","",IF(COUNTIFS(Parametry!$C$54:$C$113,E885)=1,INDEX(Parametry!$D$54:$D$113,MATCH(E885,Parametry!$C$54:$C$113,0)),""))</f>
        <v/>
      </c>
      <c r="M885" s="7">
        <f t="shared" si="39"/>
        <v>0</v>
      </c>
      <c r="N885" s="13">
        <f>IF(AND(ISNUMBER(D885),ISNUMBER(Parametry!$G$6)),IF(AND(YEAR(D885)=Parametry!$G$6,M885&lt;=Parametry!$G$7),1,0),0)</f>
        <v>0</v>
      </c>
      <c r="O885" s="13">
        <f>IF(C885="",IF(COUNTA(D885:J885)&gt;0,1,0),IF(OR(COUNTIFS($C$9:$C$1008,C885)&lt;&gt;1,NOT(ISNUMBER(D885)),NOT(ISNUMBER(I885)),L885="",AND(F885&lt;&gt;"",COUNTIFS(Umowy!$C$9:$C$108,F885,Umowy!$D$9:$D$108,L885)&lt;&gt;1)),1,0))</f>
        <v>0</v>
      </c>
      <c r="P885" s="7" t="str">
        <f t="shared" si="40"/>
        <v/>
      </c>
      <c r="Q885" s="7" t="str">
        <f t="shared" si="41"/>
        <v/>
      </c>
    </row>
    <row r="886" spans="1:17" ht="24" customHeight="1">
      <c r="A886" s="7"/>
      <c r="B886" s="7"/>
      <c r="C886" s="3"/>
      <c r="D886" s="2"/>
      <c r="E886" s="3"/>
      <c r="F886" s="3"/>
      <c r="G886" s="3"/>
      <c r="H886" s="3"/>
      <c r="I886" s="6"/>
      <c r="J886" s="3"/>
      <c r="K886" s="7"/>
      <c r="L886" s="13" t="str">
        <f>IF(C886="","",IF(COUNTIFS(Parametry!$C$54:$C$113,E886)=1,INDEX(Parametry!$D$54:$D$113,MATCH(E886,Parametry!$C$54:$C$113,0)),""))</f>
        <v/>
      </c>
      <c r="M886" s="7">
        <f t="shared" si="39"/>
        <v>0</v>
      </c>
      <c r="N886" s="13">
        <f>IF(AND(ISNUMBER(D886),ISNUMBER(Parametry!$G$6)),IF(AND(YEAR(D886)=Parametry!$G$6,M886&lt;=Parametry!$G$7),1,0),0)</f>
        <v>0</v>
      </c>
      <c r="O886" s="13">
        <f>IF(C886="",IF(COUNTA(D886:J886)&gt;0,1,0),IF(OR(COUNTIFS($C$9:$C$1008,C886)&lt;&gt;1,NOT(ISNUMBER(D886)),NOT(ISNUMBER(I886)),L886="",AND(F886&lt;&gt;"",COUNTIFS(Umowy!$C$9:$C$108,F886,Umowy!$D$9:$D$108,L886)&lt;&gt;1)),1,0))</f>
        <v>0</v>
      </c>
      <c r="P886" s="7" t="str">
        <f t="shared" si="40"/>
        <v/>
      </c>
      <c r="Q886" s="7" t="str">
        <f t="shared" si="41"/>
        <v/>
      </c>
    </row>
    <row r="887" spans="1:17" ht="24" customHeight="1">
      <c r="A887" s="7"/>
      <c r="B887" s="7"/>
      <c r="C887" s="3"/>
      <c r="D887" s="2"/>
      <c r="E887" s="3"/>
      <c r="F887" s="3"/>
      <c r="G887" s="3"/>
      <c r="H887" s="3"/>
      <c r="I887" s="6"/>
      <c r="J887" s="3"/>
      <c r="K887" s="7"/>
      <c r="L887" s="13" t="str">
        <f>IF(C887="","",IF(COUNTIFS(Parametry!$C$54:$C$113,E887)=1,INDEX(Parametry!$D$54:$D$113,MATCH(E887,Parametry!$C$54:$C$113,0)),""))</f>
        <v/>
      </c>
      <c r="M887" s="7">
        <f t="shared" si="39"/>
        <v>0</v>
      </c>
      <c r="N887" s="13">
        <f>IF(AND(ISNUMBER(D887),ISNUMBER(Parametry!$G$6)),IF(AND(YEAR(D887)=Parametry!$G$6,M887&lt;=Parametry!$G$7),1,0),0)</f>
        <v>0</v>
      </c>
      <c r="O887" s="13">
        <f>IF(C887="",IF(COUNTA(D887:J887)&gt;0,1,0),IF(OR(COUNTIFS($C$9:$C$1008,C887)&lt;&gt;1,NOT(ISNUMBER(D887)),NOT(ISNUMBER(I887)),L887="",AND(F887&lt;&gt;"",COUNTIFS(Umowy!$C$9:$C$108,F887,Umowy!$D$9:$D$108,L887)&lt;&gt;1)),1,0))</f>
        <v>0</v>
      </c>
      <c r="P887" s="7" t="str">
        <f t="shared" si="40"/>
        <v/>
      </c>
      <c r="Q887" s="7" t="str">
        <f t="shared" si="41"/>
        <v/>
      </c>
    </row>
    <row r="888" spans="1:17" ht="24" customHeight="1">
      <c r="A888" s="7"/>
      <c r="B888" s="7"/>
      <c r="C888" s="3"/>
      <c r="D888" s="2"/>
      <c r="E888" s="3"/>
      <c r="F888" s="3"/>
      <c r="G888" s="3"/>
      <c r="H888" s="3"/>
      <c r="I888" s="6"/>
      <c r="J888" s="3"/>
      <c r="K888" s="7"/>
      <c r="L888" s="13" t="str">
        <f>IF(C888="","",IF(COUNTIFS(Parametry!$C$54:$C$113,E888)=1,INDEX(Parametry!$D$54:$D$113,MATCH(E888,Parametry!$C$54:$C$113,0)),""))</f>
        <v/>
      </c>
      <c r="M888" s="7">
        <f t="shared" si="39"/>
        <v>0</v>
      </c>
      <c r="N888" s="13">
        <f>IF(AND(ISNUMBER(D888),ISNUMBER(Parametry!$G$6)),IF(AND(YEAR(D888)=Parametry!$G$6,M888&lt;=Parametry!$G$7),1,0),0)</f>
        <v>0</v>
      </c>
      <c r="O888" s="13">
        <f>IF(C888="",IF(COUNTA(D888:J888)&gt;0,1,0),IF(OR(COUNTIFS($C$9:$C$1008,C888)&lt;&gt;1,NOT(ISNUMBER(D888)),NOT(ISNUMBER(I888)),L888="",AND(F888&lt;&gt;"",COUNTIFS(Umowy!$C$9:$C$108,F888,Umowy!$D$9:$D$108,L888)&lt;&gt;1)),1,0))</f>
        <v>0</v>
      </c>
      <c r="P888" s="7" t="str">
        <f t="shared" si="40"/>
        <v/>
      </c>
      <c r="Q888" s="7" t="str">
        <f t="shared" si="41"/>
        <v/>
      </c>
    </row>
    <row r="889" spans="1:17" ht="24" customHeight="1">
      <c r="A889" s="7"/>
      <c r="B889" s="7"/>
      <c r="C889" s="3"/>
      <c r="D889" s="2"/>
      <c r="E889" s="3"/>
      <c r="F889" s="3"/>
      <c r="G889" s="3"/>
      <c r="H889" s="3"/>
      <c r="I889" s="6"/>
      <c r="J889" s="3"/>
      <c r="K889" s="7"/>
      <c r="L889" s="13" t="str">
        <f>IF(C889="","",IF(COUNTIFS(Parametry!$C$54:$C$113,E889)=1,INDEX(Parametry!$D$54:$D$113,MATCH(E889,Parametry!$C$54:$C$113,0)),""))</f>
        <v/>
      </c>
      <c r="M889" s="7">
        <f t="shared" si="39"/>
        <v>0</v>
      </c>
      <c r="N889" s="13">
        <f>IF(AND(ISNUMBER(D889),ISNUMBER(Parametry!$G$6)),IF(AND(YEAR(D889)=Parametry!$G$6,M889&lt;=Parametry!$G$7),1,0),0)</f>
        <v>0</v>
      </c>
      <c r="O889" s="13">
        <f>IF(C889="",IF(COUNTA(D889:J889)&gt;0,1,0),IF(OR(COUNTIFS($C$9:$C$1008,C889)&lt;&gt;1,NOT(ISNUMBER(D889)),NOT(ISNUMBER(I889)),L889="",AND(F889&lt;&gt;"",COUNTIFS(Umowy!$C$9:$C$108,F889,Umowy!$D$9:$D$108,L889)&lt;&gt;1)),1,0))</f>
        <v>0</v>
      </c>
      <c r="P889" s="7" t="str">
        <f t="shared" si="40"/>
        <v/>
      </c>
      <c r="Q889" s="7" t="str">
        <f t="shared" si="41"/>
        <v/>
      </c>
    </row>
    <row r="890" spans="1:17" ht="24" customHeight="1">
      <c r="A890" s="7"/>
      <c r="B890" s="7"/>
      <c r="C890" s="3"/>
      <c r="D890" s="2"/>
      <c r="E890" s="3"/>
      <c r="F890" s="3"/>
      <c r="G890" s="3"/>
      <c r="H890" s="3"/>
      <c r="I890" s="6"/>
      <c r="J890" s="3"/>
      <c r="K890" s="7"/>
      <c r="L890" s="13" t="str">
        <f>IF(C890="","",IF(COUNTIFS(Parametry!$C$54:$C$113,E890)=1,INDEX(Parametry!$D$54:$D$113,MATCH(E890,Parametry!$C$54:$C$113,0)),""))</f>
        <v/>
      </c>
      <c r="M890" s="7">
        <f t="shared" si="39"/>
        <v>0</v>
      </c>
      <c r="N890" s="13">
        <f>IF(AND(ISNUMBER(D890),ISNUMBER(Parametry!$G$6)),IF(AND(YEAR(D890)=Parametry!$G$6,M890&lt;=Parametry!$G$7),1,0),0)</f>
        <v>0</v>
      </c>
      <c r="O890" s="13">
        <f>IF(C890="",IF(COUNTA(D890:J890)&gt;0,1,0),IF(OR(COUNTIFS($C$9:$C$1008,C890)&lt;&gt;1,NOT(ISNUMBER(D890)),NOT(ISNUMBER(I890)),L890="",AND(F890&lt;&gt;"",COUNTIFS(Umowy!$C$9:$C$108,F890,Umowy!$D$9:$D$108,L890)&lt;&gt;1)),1,0))</f>
        <v>0</v>
      </c>
      <c r="P890" s="7" t="str">
        <f t="shared" si="40"/>
        <v/>
      </c>
      <c r="Q890" s="7" t="str">
        <f t="shared" si="41"/>
        <v/>
      </c>
    </row>
    <row r="891" spans="1:17" ht="24" customHeight="1">
      <c r="A891" s="7"/>
      <c r="B891" s="7"/>
      <c r="C891" s="3"/>
      <c r="D891" s="2"/>
      <c r="E891" s="3"/>
      <c r="F891" s="3"/>
      <c r="G891" s="3"/>
      <c r="H891" s="3"/>
      <c r="I891" s="6"/>
      <c r="J891" s="3"/>
      <c r="K891" s="7"/>
      <c r="L891" s="13" t="str">
        <f>IF(C891="","",IF(COUNTIFS(Parametry!$C$54:$C$113,E891)=1,INDEX(Parametry!$D$54:$D$113,MATCH(E891,Parametry!$C$54:$C$113,0)),""))</f>
        <v/>
      </c>
      <c r="M891" s="7">
        <f t="shared" si="39"/>
        <v>0</v>
      </c>
      <c r="N891" s="13">
        <f>IF(AND(ISNUMBER(D891),ISNUMBER(Parametry!$G$6)),IF(AND(YEAR(D891)=Parametry!$G$6,M891&lt;=Parametry!$G$7),1,0),0)</f>
        <v>0</v>
      </c>
      <c r="O891" s="13">
        <f>IF(C891="",IF(COUNTA(D891:J891)&gt;0,1,0),IF(OR(COUNTIFS($C$9:$C$1008,C891)&lt;&gt;1,NOT(ISNUMBER(D891)),NOT(ISNUMBER(I891)),L891="",AND(F891&lt;&gt;"",COUNTIFS(Umowy!$C$9:$C$108,F891,Umowy!$D$9:$D$108,L891)&lt;&gt;1)),1,0))</f>
        <v>0</v>
      </c>
      <c r="P891" s="7" t="str">
        <f t="shared" si="40"/>
        <v/>
      </c>
      <c r="Q891" s="7" t="str">
        <f t="shared" si="41"/>
        <v/>
      </c>
    </row>
    <row r="892" spans="1:17" ht="24" customHeight="1">
      <c r="A892" s="7"/>
      <c r="B892" s="7"/>
      <c r="C892" s="3"/>
      <c r="D892" s="2"/>
      <c r="E892" s="3"/>
      <c r="F892" s="3"/>
      <c r="G892" s="3"/>
      <c r="H892" s="3"/>
      <c r="I892" s="6"/>
      <c r="J892" s="3"/>
      <c r="K892" s="7"/>
      <c r="L892" s="13" t="str">
        <f>IF(C892="","",IF(COUNTIFS(Parametry!$C$54:$C$113,E892)=1,INDEX(Parametry!$D$54:$D$113,MATCH(E892,Parametry!$C$54:$C$113,0)),""))</f>
        <v/>
      </c>
      <c r="M892" s="7">
        <f t="shared" si="39"/>
        <v>0</v>
      </c>
      <c r="N892" s="13">
        <f>IF(AND(ISNUMBER(D892),ISNUMBER(Parametry!$G$6)),IF(AND(YEAR(D892)=Parametry!$G$6,M892&lt;=Parametry!$G$7),1,0),0)</f>
        <v>0</v>
      </c>
      <c r="O892" s="13">
        <f>IF(C892="",IF(COUNTA(D892:J892)&gt;0,1,0),IF(OR(COUNTIFS($C$9:$C$1008,C892)&lt;&gt;1,NOT(ISNUMBER(D892)),NOT(ISNUMBER(I892)),L892="",AND(F892&lt;&gt;"",COUNTIFS(Umowy!$C$9:$C$108,F892,Umowy!$D$9:$D$108,L892)&lt;&gt;1)),1,0))</f>
        <v>0</v>
      </c>
      <c r="P892" s="7" t="str">
        <f t="shared" si="40"/>
        <v/>
      </c>
      <c r="Q892" s="7" t="str">
        <f t="shared" si="41"/>
        <v/>
      </c>
    </row>
    <row r="893" spans="1:17" ht="24" customHeight="1">
      <c r="A893" s="7"/>
      <c r="B893" s="7"/>
      <c r="C893" s="3"/>
      <c r="D893" s="2"/>
      <c r="E893" s="3"/>
      <c r="F893" s="3"/>
      <c r="G893" s="3"/>
      <c r="H893" s="3"/>
      <c r="I893" s="6"/>
      <c r="J893" s="3"/>
      <c r="K893" s="7"/>
      <c r="L893" s="13" t="str">
        <f>IF(C893="","",IF(COUNTIFS(Parametry!$C$54:$C$113,E893)=1,INDEX(Parametry!$D$54:$D$113,MATCH(E893,Parametry!$C$54:$C$113,0)),""))</f>
        <v/>
      </c>
      <c r="M893" s="7">
        <f t="shared" si="39"/>
        <v>0</v>
      </c>
      <c r="N893" s="13">
        <f>IF(AND(ISNUMBER(D893),ISNUMBER(Parametry!$G$6)),IF(AND(YEAR(D893)=Parametry!$G$6,M893&lt;=Parametry!$G$7),1,0),0)</f>
        <v>0</v>
      </c>
      <c r="O893" s="13">
        <f>IF(C893="",IF(COUNTA(D893:J893)&gt;0,1,0),IF(OR(COUNTIFS($C$9:$C$1008,C893)&lt;&gt;1,NOT(ISNUMBER(D893)),NOT(ISNUMBER(I893)),L893="",AND(F893&lt;&gt;"",COUNTIFS(Umowy!$C$9:$C$108,F893,Umowy!$D$9:$D$108,L893)&lt;&gt;1)),1,0))</f>
        <v>0</v>
      </c>
      <c r="P893" s="7" t="str">
        <f t="shared" si="40"/>
        <v/>
      </c>
      <c r="Q893" s="7" t="str">
        <f t="shared" si="41"/>
        <v/>
      </c>
    </row>
    <row r="894" spans="1:17" ht="24" customHeight="1">
      <c r="A894" s="7"/>
      <c r="B894" s="7"/>
      <c r="C894" s="3"/>
      <c r="D894" s="2"/>
      <c r="E894" s="3"/>
      <c r="F894" s="3"/>
      <c r="G894" s="3"/>
      <c r="H894" s="3"/>
      <c r="I894" s="6"/>
      <c r="J894" s="3"/>
      <c r="K894" s="7"/>
      <c r="L894" s="13" t="str">
        <f>IF(C894="","",IF(COUNTIFS(Parametry!$C$54:$C$113,E894)=1,INDEX(Parametry!$D$54:$D$113,MATCH(E894,Parametry!$C$54:$C$113,0)),""))</f>
        <v/>
      </c>
      <c r="M894" s="7">
        <f t="shared" si="39"/>
        <v>0</v>
      </c>
      <c r="N894" s="13">
        <f>IF(AND(ISNUMBER(D894),ISNUMBER(Parametry!$G$6)),IF(AND(YEAR(D894)=Parametry!$G$6,M894&lt;=Parametry!$G$7),1,0),0)</f>
        <v>0</v>
      </c>
      <c r="O894" s="13">
        <f>IF(C894="",IF(COUNTA(D894:J894)&gt;0,1,0),IF(OR(COUNTIFS($C$9:$C$1008,C894)&lt;&gt;1,NOT(ISNUMBER(D894)),NOT(ISNUMBER(I894)),L894="",AND(F894&lt;&gt;"",COUNTIFS(Umowy!$C$9:$C$108,F894,Umowy!$D$9:$D$108,L894)&lt;&gt;1)),1,0))</f>
        <v>0</v>
      </c>
      <c r="P894" s="7" t="str">
        <f t="shared" si="40"/>
        <v/>
      </c>
      <c r="Q894" s="7" t="str">
        <f t="shared" si="41"/>
        <v/>
      </c>
    </row>
    <row r="895" spans="1:17" ht="24" customHeight="1">
      <c r="A895" s="7"/>
      <c r="B895" s="7"/>
      <c r="C895" s="3"/>
      <c r="D895" s="2"/>
      <c r="E895" s="3"/>
      <c r="F895" s="3"/>
      <c r="G895" s="3"/>
      <c r="H895" s="3"/>
      <c r="I895" s="6"/>
      <c r="J895" s="3"/>
      <c r="K895" s="7"/>
      <c r="L895" s="13" t="str">
        <f>IF(C895="","",IF(COUNTIFS(Parametry!$C$54:$C$113,E895)=1,INDEX(Parametry!$D$54:$D$113,MATCH(E895,Parametry!$C$54:$C$113,0)),""))</f>
        <v/>
      </c>
      <c r="M895" s="7">
        <f t="shared" si="39"/>
        <v>0</v>
      </c>
      <c r="N895" s="13">
        <f>IF(AND(ISNUMBER(D895),ISNUMBER(Parametry!$G$6)),IF(AND(YEAR(D895)=Parametry!$G$6,M895&lt;=Parametry!$G$7),1,0),0)</f>
        <v>0</v>
      </c>
      <c r="O895" s="13">
        <f>IF(C895="",IF(COUNTA(D895:J895)&gt;0,1,0),IF(OR(COUNTIFS($C$9:$C$1008,C895)&lt;&gt;1,NOT(ISNUMBER(D895)),NOT(ISNUMBER(I895)),L895="",AND(F895&lt;&gt;"",COUNTIFS(Umowy!$C$9:$C$108,F895,Umowy!$D$9:$D$108,L895)&lt;&gt;1)),1,0))</f>
        <v>0</v>
      </c>
      <c r="P895" s="7" t="str">
        <f t="shared" si="40"/>
        <v/>
      </c>
      <c r="Q895" s="7" t="str">
        <f t="shared" si="41"/>
        <v/>
      </c>
    </row>
    <row r="896" spans="1:17" ht="24" customHeight="1">
      <c r="A896" s="7"/>
      <c r="B896" s="7"/>
      <c r="C896" s="3"/>
      <c r="D896" s="2"/>
      <c r="E896" s="3"/>
      <c r="F896" s="3"/>
      <c r="G896" s="3"/>
      <c r="H896" s="3"/>
      <c r="I896" s="6"/>
      <c r="J896" s="3"/>
      <c r="K896" s="7"/>
      <c r="L896" s="13" t="str">
        <f>IF(C896="","",IF(COUNTIFS(Parametry!$C$54:$C$113,E896)=1,INDEX(Parametry!$D$54:$D$113,MATCH(E896,Parametry!$C$54:$C$113,0)),""))</f>
        <v/>
      </c>
      <c r="M896" s="7">
        <f t="shared" si="39"/>
        <v>0</v>
      </c>
      <c r="N896" s="13">
        <f>IF(AND(ISNUMBER(D896),ISNUMBER(Parametry!$G$6)),IF(AND(YEAR(D896)=Parametry!$G$6,M896&lt;=Parametry!$G$7),1,0),0)</f>
        <v>0</v>
      </c>
      <c r="O896" s="13">
        <f>IF(C896="",IF(COUNTA(D896:J896)&gt;0,1,0),IF(OR(COUNTIFS($C$9:$C$1008,C896)&lt;&gt;1,NOT(ISNUMBER(D896)),NOT(ISNUMBER(I896)),L896="",AND(F896&lt;&gt;"",COUNTIFS(Umowy!$C$9:$C$108,F896,Umowy!$D$9:$D$108,L896)&lt;&gt;1)),1,0))</f>
        <v>0</v>
      </c>
      <c r="P896" s="7" t="str">
        <f t="shared" si="40"/>
        <v/>
      </c>
      <c r="Q896" s="7" t="str">
        <f t="shared" si="41"/>
        <v/>
      </c>
    </row>
    <row r="897" spans="1:17" ht="24" customHeight="1">
      <c r="A897" s="7"/>
      <c r="B897" s="7"/>
      <c r="C897" s="3"/>
      <c r="D897" s="2"/>
      <c r="E897" s="3"/>
      <c r="F897" s="3"/>
      <c r="G897" s="3"/>
      <c r="H897" s="3"/>
      <c r="I897" s="6"/>
      <c r="J897" s="3"/>
      <c r="K897" s="7"/>
      <c r="L897" s="13" t="str">
        <f>IF(C897="","",IF(COUNTIFS(Parametry!$C$54:$C$113,E897)=1,INDEX(Parametry!$D$54:$D$113,MATCH(E897,Parametry!$C$54:$C$113,0)),""))</f>
        <v/>
      </c>
      <c r="M897" s="7">
        <f t="shared" si="39"/>
        <v>0</v>
      </c>
      <c r="N897" s="13">
        <f>IF(AND(ISNUMBER(D897),ISNUMBER(Parametry!$G$6)),IF(AND(YEAR(D897)=Parametry!$G$6,M897&lt;=Parametry!$G$7),1,0),0)</f>
        <v>0</v>
      </c>
      <c r="O897" s="13">
        <f>IF(C897="",IF(COUNTA(D897:J897)&gt;0,1,0),IF(OR(COUNTIFS($C$9:$C$1008,C897)&lt;&gt;1,NOT(ISNUMBER(D897)),NOT(ISNUMBER(I897)),L897="",AND(F897&lt;&gt;"",COUNTIFS(Umowy!$C$9:$C$108,F897,Umowy!$D$9:$D$108,L897)&lt;&gt;1)),1,0))</f>
        <v>0</v>
      </c>
      <c r="P897" s="7" t="str">
        <f t="shared" si="40"/>
        <v/>
      </c>
      <c r="Q897" s="7" t="str">
        <f t="shared" si="41"/>
        <v/>
      </c>
    </row>
    <row r="898" spans="1:17" ht="24" customHeight="1">
      <c r="A898" s="7"/>
      <c r="B898" s="7"/>
      <c r="C898" s="3"/>
      <c r="D898" s="2"/>
      <c r="E898" s="3"/>
      <c r="F898" s="3"/>
      <c r="G898" s="3"/>
      <c r="H898" s="3"/>
      <c r="I898" s="6"/>
      <c r="J898" s="3"/>
      <c r="K898" s="7"/>
      <c r="L898" s="13" t="str">
        <f>IF(C898="","",IF(COUNTIFS(Parametry!$C$54:$C$113,E898)=1,INDEX(Parametry!$D$54:$D$113,MATCH(E898,Parametry!$C$54:$C$113,0)),""))</f>
        <v/>
      </c>
      <c r="M898" s="7">
        <f t="shared" si="39"/>
        <v>0</v>
      </c>
      <c r="N898" s="13">
        <f>IF(AND(ISNUMBER(D898),ISNUMBER(Parametry!$G$6)),IF(AND(YEAR(D898)=Parametry!$G$6,M898&lt;=Parametry!$G$7),1,0),0)</f>
        <v>0</v>
      </c>
      <c r="O898" s="13">
        <f>IF(C898="",IF(COUNTA(D898:J898)&gt;0,1,0),IF(OR(COUNTIFS($C$9:$C$1008,C898)&lt;&gt;1,NOT(ISNUMBER(D898)),NOT(ISNUMBER(I898)),L898="",AND(F898&lt;&gt;"",COUNTIFS(Umowy!$C$9:$C$108,F898,Umowy!$D$9:$D$108,L898)&lt;&gt;1)),1,0))</f>
        <v>0</v>
      </c>
      <c r="P898" s="7" t="str">
        <f t="shared" si="40"/>
        <v/>
      </c>
      <c r="Q898" s="7" t="str">
        <f t="shared" si="41"/>
        <v/>
      </c>
    </row>
    <row r="899" spans="1:17" ht="24" customHeight="1">
      <c r="A899" s="7"/>
      <c r="B899" s="7"/>
      <c r="C899" s="3"/>
      <c r="D899" s="2"/>
      <c r="E899" s="3"/>
      <c r="F899" s="3"/>
      <c r="G899" s="3"/>
      <c r="H899" s="3"/>
      <c r="I899" s="6"/>
      <c r="J899" s="3"/>
      <c r="K899" s="7"/>
      <c r="L899" s="13" t="str">
        <f>IF(C899="","",IF(COUNTIFS(Parametry!$C$54:$C$113,E899)=1,INDEX(Parametry!$D$54:$D$113,MATCH(E899,Parametry!$C$54:$C$113,0)),""))</f>
        <v/>
      </c>
      <c r="M899" s="7">
        <f t="shared" si="39"/>
        <v>0</v>
      </c>
      <c r="N899" s="13">
        <f>IF(AND(ISNUMBER(D899),ISNUMBER(Parametry!$G$6)),IF(AND(YEAR(D899)=Parametry!$G$6,M899&lt;=Parametry!$G$7),1,0),0)</f>
        <v>0</v>
      </c>
      <c r="O899" s="13">
        <f>IF(C899="",IF(COUNTA(D899:J899)&gt;0,1,0),IF(OR(COUNTIFS($C$9:$C$1008,C899)&lt;&gt;1,NOT(ISNUMBER(D899)),NOT(ISNUMBER(I899)),L899="",AND(F899&lt;&gt;"",COUNTIFS(Umowy!$C$9:$C$108,F899,Umowy!$D$9:$D$108,L899)&lt;&gt;1)),1,0))</f>
        <v>0</v>
      </c>
      <c r="P899" s="7" t="str">
        <f t="shared" si="40"/>
        <v/>
      </c>
      <c r="Q899" s="7" t="str">
        <f t="shared" si="41"/>
        <v/>
      </c>
    </row>
    <row r="900" spans="1:17" ht="24" customHeight="1">
      <c r="A900" s="7"/>
      <c r="B900" s="7"/>
      <c r="C900" s="3"/>
      <c r="D900" s="2"/>
      <c r="E900" s="3"/>
      <c r="F900" s="3"/>
      <c r="G900" s="3"/>
      <c r="H900" s="3"/>
      <c r="I900" s="6"/>
      <c r="J900" s="3"/>
      <c r="K900" s="7"/>
      <c r="L900" s="13" t="str">
        <f>IF(C900="","",IF(COUNTIFS(Parametry!$C$54:$C$113,E900)=1,INDEX(Parametry!$D$54:$D$113,MATCH(E900,Parametry!$C$54:$C$113,0)),""))</f>
        <v/>
      </c>
      <c r="M900" s="7">
        <f t="shared" si="39"/>
        <v>0</v>
      </c>
      <c r="N900" s="13">
        <f>IF(AND(ISNUMBER(D900),ISNUMBER(Parametry!$G$6)),IF(AND(YEAR(D900)=Parametry!$G$6,M900&lt;=Parametry!$G$7),1,0),0)</f>
        <v>0</v>
      </c>
      <c r="O900" s="13">
        <f>IF(C900="",IF(COUNTA(D900:J900)&gt;0,1,0),IF(OR(COUNTIFS($C$9:$C$1008,C900)&lt;&gt;1,NOT(ISNUMBER(D900)),NOT(ISNUMBER(I900)),L900="",AND(F900&lt;&gt;"",COUNTIFS(Umowy!$C$9:$C$108,F900,Umowy!$D$9:$D$108,L900)&lt;&gt;1)),1,0))</f>
        <v>0</v>
      </c>
      <c r="P900" s="7" t="str">
        <f t="shared" si="40"/>
        <v/>
      </c>
      <c r="Q900" s="7" t="str">
        <f t="shared" si="41"/>
        <v/>
      </c>
    </row>
    <row r="901" spans="1:17" ht="24" customHeight="1">
      <c r="A901" s="7"/>
      <c r="B901" s="7"/>
      <c r="C901" s="3"/>
      <c r="D901" s="2"/>
      <c r="E901" s="3"/>
      <c r="F901" s="3"/>
      <c r="G901" s="3"/>
      <c r="H901" s="3"/>
      <c r="I901" s="6"/>
      <c r="J901" s="3"/>
      <c r="K901" s="7"/>
      <c r="L901" s="13" t="str">
        <f>IF(C901="","",IF(COUNTIFS(Parametry!$C$54:$C$113,E901)=1,INDEX(Parametry!$D$54:$D$113,MATCH(E901,Parametry!$C$54:$C$113,0)),""))</f>
        <v/>
      </c>
      <c r="M901" s="7">
        <f t="shared" si="39"/>
        <v>0</v>
      </c>
      <c r="N901" s="13">
        <f>IF(AND(ISNUMBER(D901),ISNUMBER(Parametry!$G$6)),IF(AND(YEAR(D901)=Parametry!$G$6,M901&lt;=Parametry!$G$7),1,0),0)</f>
        <v>0</v>
      </c>
      <c r="O901" s="13">
        <f>IF(C901="",IF(COUNTA(D901:J901)&gt;0,1,0),IF(OR(COUNTIFS($C$9:$C$1008,C901)&lt;&gt;1,NOT(ISNUMBER(D901)),NOT(ISNUMBER(I901)),L901="",AND(F901&lt;&gt;"",COUNTIFS(Umowy!$C$9:$C$108,F901,Umowy!$D$9:$D$108,L901)&lt;&gt;1)),1,0))</f>
        <v>0</v>
      </c>
      <c r="P901" s="7" t="str">
        <f t="shared" si="40"/>
        <v/>
      </c>
      <c r="Q901" s="7" t="str">
        <f t="shared" si="41"/>
        <v/>
      </c>
    </row>
    <row r="902" spans="1:17" ht="24" customHeight="1">
      <c r="A902" s="7"/>
      <c r="B902" s="7"/>
      <c r="C902" s="3"/>
      <c r="D902" s="2"/>
      <c r="E902" s="3"/>
      <c r="F902" s="3"/>
      <c r="G902" s="3"/>
      <c r="H902" s="3"/>
      <c r="I902" s="6"/>
      <c r="J902" s="3"/>
      <c r="K902" s="7"/>
      <c r="L902" s="13" t="str">
        <f>IF(C902="","",IF(COUNTIFS(Parametry!$C$54:$C$113,E902)=1,INDEX(Parametry!$D$54:$D$113,MATCH(E902,Parametry!$C$54:$C$113,0)),""))</f>
        <v/>
      </c>
      <c r="M902" s="7">
        <f t="shared" si="39"/>
        <v>0</v>
      </c>
      <c r="N902" s="13">
        <f>IF(AND(ISNUMBER(D902),ISNUMBER(Parametry!$G$6)),IF(AND(YEAR(D902)=Parametry!$G$6,M902&lt;=Parametry!$G$7),1,0),0)</f>
        <v>0</v>
      </c>
      <c r="O902" s="13">
        <f>IF(C902="",IF(COUNTA(D902:J902)&gt;0,1,0),IF(OR(COUNTIFS($C$9:$C$1008,C902)&lt;&gt;1,NOT(ISNUMBER(D902)),NOT(ISNUMBER(I902)),L902="",AND(F902&lt;&gt;"",COUNTIFS(Umowy!$C$9:$C$108,F902,Umowy!$D$9:$D$108,L902)&lt;&gt;1)),1,0))</f>
        <v>0</v>
      </c>
      <c r="P902" s="7" t="str">
        <f t="shared" si="40"/>
        <v/>
      </c>
      <c r="Q902" s="7" t="str">
        <f t="shared" si="41"/>
        <v/>
      </c>
    </row>
    <row r="903" spans="1:17" ht="24" customHeight="1">
      <c r="A903" s="7"/>
      <c r="B903" s="7"/>
      <c r="C903" s="3"/>
      <c r="D903" s="2"/>
      <c r="E903" s="3"/>
      <c r="F903" s="3"/>
      <c r="G903" s="3"/>
      <c r="H903" s="3"/>
      <c r="I903" s="6"/>
      <c r="J903" s="3"/>
      <c r="K903" s="7"/>
      <c r="L903" s="13" t="str">
        <f>IF(C903="","",IF(COUNTIFS(Parametry!$C$54:$C$113,E903)=1,INDEX(Parametry!$D$54:$D$113,MATCH(E903,Parametry!$C$54:$C$113,0)),""))</f>
        <v/>
      </c>
      <c r="M903" s="7">
        <f t="shared" si="39"/>
        <v>0</v>
      </c>
      <c r="N903" s="13">
        <f>IF(AND(ISNUMBER(D903),ISNUMBER(Parametry!$G$6)),IF(AND(YEAR(D903)=Parametry!$G$6,M903&lt;=Parametry!$G$7),1,0),0)</f>
        <v>0</v>
      </c>
      <c r="O903" s="13">
        <f>IF(C903="",IF(COUNTA(D903:J903)&gt;0,1,0),IF(OR(COUNTIFS($C$9:$C$1008,C903)&lt;&gt;1,NOT(ISNUMBER(D903)),NOT(ISNUMBER(I903)),L903="",AND(F903&lt;&gt;"",COUNTIFS(Umowy!$C$9:$C$108,F903,Umowy!$D$9:$D$108,L903)&lt;&gt;1)),1,0))</f>
        <v>0</v>
      </c>
      <c r="P903" s="7" t="str">
        <f t="shared" si="40"/>
        <v/>
      </c>
      <c r="Q903" s="7" t="str">
        <f t="shared" si="41"/>
        <v/>
      </c>
    </row>
    <row r="904" spans="1:17" ht="24" customHeight="1">
      <c r="A904" s="7"/>
      <c r="B904" s="7"/>
      <c r="C904" s="3"/>
      <c r="D904" s="2"/>
      <c r="E904" s="3"/>
      <c r="F904" s="3"/>
      <c r="G904" s="3"/>
      <c r="H904" s="3"/>
      <c r="I904" s="6"/>
      <c r="J904" s="3"/>
      <c r="K904" s="7"/>
      <c r="L904" s="13" t="str">
        <f>IF(C904="","",IF(COUNTIFS(Parametry!$C$54:$C$113,E904)=1,INDEX(Parametry!$D$54:$D$113,MATCH(E904,Parametry!$C$54:$C$113,0)),""))</f>
        <v/>
      </c>
      <c r="M904" s="7">
        <f t="shared" si="39"/>
        <v>0</v>
      </c>
      <c r="N904" s="13">
        <f>IF(AND(ISNUMBER(D904),ISNUMBER(Parametry!$G$6)),IF(AND(YEAR(D904)=Parametry!$G$6,M904&lt;=Parametry!$G$7),1,0),0)</f>
        <v>0</v>
      </c>
      <c r="O904" s="13">
        <f>IF(C904="",IF(COUNTA(D904:J904)&gt;0,1,0),IF(OR(COUNTIFS($C$9:$C$1008,C904)&lt;&gt;1,NOT(ISNUMBER(D904)),NOT(ISNUMBER(I904)),L904="",AND(F904&lt;&gt;"",COUNTIFS(Umowy!$C$9:$C$108,F904,Umowy!$D$9:$D$108,L904)&lt;&gt;1)),1,0))</f>
        <v>0</v>
      </c>
      <c r="P904" s="7" t="str">
        <f t="shared" si="40"/>
        <v/>
      </c>
      <c r="Q904" s="7" t="str">
        <f t="shared" si="41"/>
        <v/>
      </c>
    </row>
    <row r="905" spans="1:17" ht="24" customHeight="1">
      <c r="A905" s="7"/>
      <c r="B905" s="7"/>
      <c r="C905" s="3"/>
      <c r="D905" s="2"/>
      <c r="E905" s="3"/>
      <c r="F905" s="3"/>
      <c r="G905" s="3"/>
      <c r="H905" s="3"/>
      <c r="I905" s="6"/>
      <c r="J905" s="3"/>
      <c r="K905" s="7"/>
      <c r="L905" s="13" t="str">
        <f>IF(C905="","",IF(COUNTIFS(Parametry!$C$54:$C$113,E905)=1,INDEX(Parametry!$D$54:$D$113,MATCH(E905,Parametry!$C$54:$C$113,0)),""))</f>
        <v/>
      </c>
      <c r="M905" s="7">
        <f t="shared" ref="M905:M968" si="42">IF(ISNUMBER(D905),MONTH(D905),0)</f>
        <v>0</v>
      </c>
      <c r="N905" s="13">
        <f>IF(AND(ISNUMBER(D905),ISNUMBER(Parametry!$G$6)),IF(AND(YEAR(D905)=Parametry!$G$6,M905&lt;=Parametry!$G$7),1,0),0)</f>
        <v>0</v>
      </c>
      <c r="O905" s="13">
        <f>IF(C905="",IF(COUNTA(D905:J905)&gt;0,1,0),IF(OR(COUNTIFS($C$9:$C$1008,C905)&lt;&gt;1,NOT(ISNUMBER(D905)),NOT(ISNUMBER(I905)),L905="",AND(F905&lt;&gt;"",COUNTIFS(Umowy!$C$9:$C$108,F905,Umowy!$D$9:$D$108,L905)&lt;&gt;1)),1,0))</f>
        <v>0</v>
      </c>
      <c r="P905" s="7" t="str">
        <f t="shared" ref="P905:P968" si="43">IF(O905=0,"",IF(C905="","Missing RowID",IF(COUNTIFS($C$9:$C$1008,C905)&lt;&gt;1,"Duplicate RowID",IF(L905="","Unmapped ERPKey",IF(NOT(ISNUMBER(D905)),"Invalid Date",IF(NOT(ISNUMBER(I905)),"Invalid AmountPLN","CommitmentID / BudgetID"))))))</f>
        <v/>
      </c>
      <c r="Q905" s="7" t="str">
        <f t="shared" ref="Q905:Q968" si="44">IF(C905="","",IF(N905=1,"","Nie ujęto w wykonaniu okresu"))</f>
        <v/>
      </c>
    </row>
    <row r="906" spans="1:17" ht="24" customHeight="1">
      <c r="A906" s="7"/>
      <c r="B906" s="7"/>
      <c r="C906" s="3"/>
      <c r="D906" s="2"/>
      <c r="E906" s="3"/>
      <c r="F906" s="3"/>
      <c r="G906" s="3"/>
      <c r="H906" s="3"/>
      <c r="I906" s="6"/>
      <c r="J906" s="3"/>
      <c r="K906" s="7"/>
      <c r="L906" s="13" t="str">
        <f>IF(C906="","",IF(COUNTIFS(Parametry!$C$54:$C$113,E906)=1,INDEX(Parametry!$D$54:$D$113,MATCH(E906,Parametry!$C$54:$C$113,0)),""))</f>
        <v/>
      </c>
      <c r="M906" s="7">
        <f t="shared" si="42"/>
        <v>0</v>
      </c>
      <c r="N906" s="13">
        <f>IF(AND(ISNUMBER(D906),ISNUMBER(Parametry!$G$6)),IF(AND(YEAR(D906)=Parametry!$G$6,M906&lt;=Parametry!$G$7),1,0),0)</f>
        <v>0</v>
      </c>
      <c r="O906" s="13">
        <f>IF(C906="",IF(COUNTA(D906:J906)&gt;0,1,0),IF(OR(COUNTIFS($C$9:$C$1008,C906)&lt;&gt;1,NOT(ISNUMBER(D906)),NOT(ISNUMBER(I906)),L906="",AND(F906&lt;&gt;"",COUNTIFS(Umowy!$C$9:$C$108,F906,Umowy!$D$9:$D$108,L906)&lt;&gt;1)),1,0))</f>
        <v>0</v>
      </c>
      <c r="P906" s="7" t="str">
        <f t="shared" si="43"/>
        <v/>
      </c>
      <c r="Q906" s="7" t="str">
        <f t="shared" si="44"/>
        <v/>
      </c>
    </row>
    <row r="907" spans="1:17" ht="24" customHeight="1">
      <c r="A907" s="7"/>
      <c r="B907" s="7"/>
      <c r="C907" s="3"/>
      <c r="D907" s="2"/>
      <c r="E907" s="3"/>
      <c r="F907" s="3"/>
      <c r="G907" s="3"/>
      <c r="H907" s="3"/>
      <c r="I907" s="6"/>
      <c r="J907" s="3"/>
      <c r="K907" s="7"/>
      <c r="L907" s="13" t="str">
        <f>IF(C907="","",IF(COUNTIFS(Parametry!$C$54:$C$113,E907)=1,INDEX(Parametry!$D$54:$D$113,MATCH(E907,Parametry!$C$54:$C$113,0)),""))</f>
        <v/>
      </c>
      <c r="M907" s="7">
        <f t="shared" si="42"/>
        <v>0</v>
      </c>
      <c r="N907" s="13">
        <f>IF(AND(ISNUMBER(D907),ISNUMBER(Parametry!$G$6)),IF(AND(YEAR(D907)=Parametry!$G$6,M907&lt;=Parametry!$G$7),1,0),0)</f>
        <v>0</v>
      </c>
      <c r="O907" s="13">
        <f>IF(C907="",IF(COUNTA(D907:J907)&gt;0,1,0),IF(OR(COUNTIFS($C$9:$C$1008,C907)&lt;&gt;1,NOT(ISNUMBER(D907)),NOT(ISNUMBER(I907)),L907="",AND(F907&lt;&gt;"",COUNTIFS(Umowy!$C$9:$C$108,F907,Umowy!$D$9:$D$108,L907)&lt;&gt;1)),1,0))</f>
        <v>0</v>
      </c>
      <c r="P907" s="7" t="str">
        <f t="shared" si="43"/>
        <v/>
      </c>
      <c r="Q907" s="7" t="str">
        <f t="shared" si="44"/>
        <v/>
      </c>
    </row>
    <row r="908" spans="1:17" ht="24" customHeight="1">
      <c r="A908" s="7"/>
      <c r="B908" s="7"/>
      <c r="C908" s="3"/>
      <c r="D908" s="2"/>
      <c r="E908" s="3"/>
      <c r="F908" s="3"/>
      <c r="G908" s="3"/>
      <c r="H908" s="3"/>
      <c r="I908" s="6"/>
      <c r="J908" s="3"/>
      <c r="K908" s="7"/>
      <c r="L908" s="13" t="str">
        <f>IF(C908="","",IF(COUNTIFS(Parametry!$C$54:$C$113,E908)=1,INDEX(Parametry!$D$54:$D$113,MATCH(E908,Parametry!$C$54:$C$113,0)),""))</f>
        <v/>
      </c>
      <c r="M908" s="7">
        <f t="shared" si="42"/>
        <v>0</v>
      </c>
      <c r="N908" s="13">
        <f>IF(AND(ISNUMBER(D908),ISNUMBER(Parametry!$G$6)),IF(AND(YEAR(D908)=Parametry!$G$6,M908&lt;=Parametry!$G$7),1,0),0)</f>
        <v>0</v>
      </c>
      <c r="O908" s="13">
        <f>IF(C908="",IF(COUNTA(D908:J908)&gt;0,1,0),IF(OR(COUNTIFS($C$9:$C$1008,C908)&lt;&gt;1,NOT(ISNUMBER(D908)),NOT(ISNUMBER(I908)),L908="",AND(F908&lt;&gt;"",COUNTIFS(Umowy!$C$9:$C$108,F908,Umowy!$D$9:$D$108,L908)&lt;&gt;1)),1,0))</f>
        <v>0</v>
      </c>
      <c r="P908" s="7" t="str">
        <f t="shared" si="43"/>
        <v/>
      </c>
      <c r="Q908" s="7" t="str">
        <f t="shared" si="44"/>
        <v/>
      </c>
    </row>
    <row r="909" spans="1:17" ht="24" customHeight="1">
      <c r="A909" s="7"/>
      <c r="B909" s="7"/>
      <c r="C909" s="3"/>
      <c r="D909" s="2"/>
      <c r="E909" s="3"/>
      <c r="F909" s="3"/>
      <c r="G909" s="3"/>
      <c r="H909" s="3"/>
      <c r="I909" s="6"/>
      <c r="J909" s="3"/>
      <c r="K909" s="7"/>
      <c r="L909" s="13" t="str">
        <f>IF(C909="","",IF(COUNTIFS(Parametry!$C$54:$C$113,E909)=1,INDEX(Parametry!$D$54:$D$113,MATCH(E909,Parametry!$C$54:$C$113,0)),""))</f>
        <v/>
      </c>
      <c r="M909" s="7">
        <f t="shared" si="42"/>
        <v>0</v>
      </c>
      <c r="N909" s="13">
        <f>IF(AND(ISNUMBER(D909),ISNUMBER(Parametry!$G$6)),IF(AND(YEAR(D909)=Parametry!$G$6,M909&lt;=Parametry!$G$7),1,0),0)</f>
        <v>0</v>
      </c>
      <c r="O909" s="13">
        <f>IF(C909="",IF(COUNTA(D909:J909)&gt;0,1,0),IF(OR(COUNTIFS($C$9:$C$1008,C909)&lt;&gt;1,NOT(ISNUMBER(D909)),NOT(ISNUMBER(I909)),L909="",AND(F909&lt;&gt;"",COUNTIFS(Umowy!$C$9:$C$108,F909,Umowy!$D$9:$D$108,L909)&lt;&gt;1)),1,0))</f>
        <v>0</v>
      </c>
      <c r="P909" s="7" t="str">
        <f t="shared" si="43"/>
        <v/>
      </c>
      <c r="Q909" s="7" t="str">
        <f t="shared" si="44"/>
        <v/>
      </c>
    </row>
    <row r="910" spans="1:17" ht="24" customHeight="1">
      <c r="A910" s="7"/>
      <c r="B910" s="7"/>
      <c r="C910" s="3"/>
      <c r="D910" s="2"/>
      <c r="E910" s="3"/>
      <c r="F910" s="3"/>
      <c r="G910" s="3"/>
      <c r="H910" s="3"/>
      <c r="I910" s="6"/>
      <c r="J910" s="3"/>
      <c r="K910" s="7"/>
      <c r="L910" s="13" t="str">
        <f>IF(C910="","",IF(COUNTIFS(Parametry!$C$54:$C$113,E910)=1,INDEX(Parametry!$D$54:$D$113,MATCH(E910,Parametry!$C$54:$C$113,0)),""))</f>
        <v/>
      </c>
      <c r="M910" s="7">
        <f t="shared" si="42"/>
        <v>0</v>
      </c>
      <c r="N910" s="13">
        <f>IF(AND(ISNUMBER(D910),ISNUMBER(Parametry!$G$6)),IF(AND(YEAR(D910)=Parametry!$G$6,M910&lt;=Parametry!$G$7),1,0),0)</f>
        <v>0</v>
      </c>
      <c r="O910" s="13">
        <f>IF(C910="",IF(COUNTA(D910:J910)&gt;0,1,0),IF(OR(COUNTIFS($C$9:$C$1008,C910)&lt;&gt;1,NOT(ISNUMBER(D910)),NOT(ISNUMBER(I910)),L910="",AND(F910&lt;&gt;"",COUNTIFS(Umowy!$C$9:$C$108,F910,Umowy!$D$9:$D$108,L910)&lt;&gt;1)),1,0))</f>
        <v>0</v>
      </c>
      <c r="P910" s="7" t="str">
        <f t="shared" si="43"/>
        <v/>
      </c>
      <c r="Q910" s="7" t="str">
        <f t="shared" si="44"/>
        <v/>
      </c>
    </row>
    <row r="911" spans="1:17" ht="24" customHeight="1">
      <c r="A911" s="7"/>
      <c r="B911" s="7"/>
      <c r="C911" s="3"/>
      <c r="D911" s="2"/>
      <c r="E911" s="3"/>
      <c r="F911" s="3"/>
      <c r="G911" s="3"/>
      <c r="H911" s="3"/>
      <c r="I911" s="6"/>
      <c r="J911" s="3"/>
      <c r="K911" s="7"/>
      <c r="L911" s="13" t="str">
        <f>IF(C911="","",IF(COUNTIFS(Parametry!$C$54:$C$113,E911)=1,INDEX(Parametry!$D$54:$D$113,MATCH(E911,Parametry!$C$54:$C$113,0)),""))</f>
        <v/>
      </c>
      <c r="M911" s="7">
        <f t="shared" si="42"/>
        <v>0</v>
      </c>
      <c r="N911" s="13">
        <f>IF(AND(ISNUMBER(D911),ISNUMBER(Parametry!$G$6)),IF(AND(YEAR(D911)=Parametry!$G$6,M911&lt;=Parametry!$G$7),1,0),0)</f>
        <v>0</v>
      </c>
      <c r="O911" s="13">
        <f>IF(C911="",IF(COUNTA(D911:J911)&gt;0,1,0),IF(OR(COUNTIFS($C$9:$C$1008,C911)&lt;&gt;1,NOT(ISNUMBER(D911)),NOT(ISNUMBER(I911)),L911="",AND(F911&lt;&gt;"",COUNTIFS(Umowy!$C$9:$C$108,F911,Umowy!$D$9:$D$108,L911)&lt;&gt;1)),1,0))</f>
        <v>0</v>
      </c>
      <c r="P911" s="7" t="str">
        <f t="shared" si="43"/>
        <v/>
      </c>
      <c r="Q911" s="7" t="str">
        <f t="shared" si="44"/>
        <v/>
      </c>
    </row>
    <row r="912" spans="1:17" ht="24" customHeight="1">
      <c r="A912" s="7"/>
      <c r="B912" s="7"/>
      <c r="C912" s="3"/>
      <c r="D912" s="2"/>
      <c r="E912" s="3"/>
      <c r="F912" s="3"/>
      <c r="G912" s="3"/>
      <c r="H912" s="3"/>
      <c r="I912" s="6"/>
      <c r="J912" s="3"/>
      <c r="K912" s="7"/>
      <c r="L912" s="13" t="str">
        <f>IF(C912="","",IF(COUNTIFS(Parametry!$C$54:$C$113,E912)=1,INDEX(Parametry!$D$54:$D$113,MATCH(E912,Parametry!$C$54:$C$113,0)),""))</f>
        <v/>
      </c>
      <c r="M912" s="7">
        <f t="shared" si="42"/>
        <v>0</v>
      </c>
      <c r="N912" s="13">
        <f>IF(AND(ISNUMBER(D912),ISNUMBER(Parametry!$G$6)),IF(AND(YEAR(D912)=Parametry!$G$6,M912&lt;=Parametry!$G$7),1,0),0)</f>
        <v>0</v>
      </c>
      <c r="O912" s="13">
        <f>IF(C912="",IF(COUNTA(D912:J912)&gt;0,1,0),IF(OR(COUNTIFS($C$9:$C$1008,C912)&lt;&gt;1,NOT(ISNUMBER(D912)),NOT(ISNUMBER(I912)),L912="",AND(F912&lt;&gt;"",COUNTIFS(Umowy!$C$9:$C$108,F912,Umowy!$D$9:$D$108,L912)&lt;&gt;1)),1,0))</f>
        <v>0</v>
      </c>
      <c r="P912" s="7" t="str">
        <f t="shared" si="43"/>
        <v/>
      </c>
      <c r="Q912" s="7" t="str">
        <f t="shared" si="44"/>
        <v/>
      </c>
    </row>
    <row r="913" spans="1:17" ht="24" customHeight="1">
      <c r="A913" s="7"/>
      <c r="B913" s="7"/>
      <c r="C913" s="3"/>
      <c r="D913" s="2"/>
      <c r="E913" s="3"/>
      <c r="F913" s="3"/>
      <c r="G913" s="3"/>
      <c r="H913" s="3"/>
      <c r="I913" s="6"/>
      <c r="J913" s="3"/>
      <c r="K913" s="7"/>
      <c r="L913" s="13" t="str">
        <f>IF(C913="","",IF(COUNTIFS(Parametry!$C$54:$C$113,E913)=1,INDEX(Parametry!$D$54:$D$113,MATCH(E913,Parametry!$C$54:$C$113,0)),""))</f>
        <v/>
      </c>
      <c r="M913" s="7">
        <f t="shared" si="42"/>
        <v>0</v>
      </c>
      <c r="N913" s="13">
        <f>IF(AND(ISNUMBER(D913),ISNUMBER(Parametry!$G$6)),IF(AND(YEAR(D913)=Parametry!$G$6,M913&lt;=Parametry!$G$7),1,0),0)</f>
        <v>0</v>
      </c>
      <c r="O913" s="13">
        <f>IF(C913="",IF(COUNTA(D913:J913)&gt;0,1,0),IF(OR(COUNTIFS($C$9:$C$1008,C913)&lt;&gt;1,NOT(ISNUMBER(D913)),NOT(ISNUMBER(I913)),L913="",AND(F913&lt;&gt;"",COUNTIFS(Umowy!$C$9:$C$108,F913,Umowy!$D$9:$D$108,L913)&lt;&gt;1)),1,0))</f>
        <v>0</v>
      </c>
      <c r="P913" s="7" t="str">
        <f t="shared" si="43"/>
        <v/>
      </c>
      <c r="Q913" s="7" t="str">
        <f t="shared" si="44"/>
        <v/>
      </c>
    </row>
    <row r="914" spans="1:17" ht="24" customHeight="1">
      <c r="A914" s="7"/>
      <c r="B914" s="7"/>
      <c r="C914" s="3"/>
      <c r="D914" s="2"/>
      <c r="E914" s="3"/>
      <c r="F914" s="3"/>
      <c r="G914" s="3"/>
      <c r="H914" s="3"/>
      <c r="I914" s="6"/>
      <c r="J914" s="3"/>
      <c r="K914" s="7"/>
      <c r="L914" s="13" t="str">
        <f>IF(C914="","",IF(COUNTIFS(Parametry!$C$54:$C$113,E914)=1,INDEX(Parametry!$D$54:$D$113,MATCH(E914,Parametry!$C$54:$C$113,0)),""))</f>
        <v/>
      </c>
      <c r="M914" s="7">
        <f t="shared" si="42"/>
        <v>0</v>
      </c>
      <c r="N914" s="13">
        <f>IF(AND(ISNUMBER(D914),ISNUMBER(Parametry!$G$6)),IF(AND(YEAR(D914)=Parametry!$G$6,M914&lt;=Parametry!$G$7),1,0),0)</f>
        <v>0</v>
      </c>
      <c r="O914" s="13">
        <f>IF(C914="",IF(COUNTA(D914:J914)&gt;0,1,0),IF(OR(COUNTIFS($C$9:$C$1008,C914)&lt;&gt;1,NOT(ISNUMBER(D914)),NOT(ISNUMBER(I914)),L914="",AND(F914&lt;&gt;"",COUNTIFS(Umowy!$C$9:$C$108,F914,Umowy!$D$9:$D$108,L914)&lt;&gt;1)),1,0))</f>
        <v>0</v>
      </c>
      <c r="P914" s="7" t="str">
        <f t="shared" si="43"/>
        <v/>
      </c>
      <c r="Q914" s="7" t="str">
        <f t="shared" si="44"/>
        <v/>
      </c>
    </row>
    <row r="915" spans="1:17" ht="24" customHeight="1">
      <c r="A915" s="7"/>
      <c r="B915" s="7"/>
      <c r="C915" s="3"/>
      <c r="D915" s="2"/>
      <c r="E915" s="3"/>
      <c r="F915" s="3"/>
      <c r="G915" s="3"/>
      <c r="H915" s="3"/>
      <c r="I915" s="6"/>
      <c r="J915" s="3"/>
      <c r="K915" s="7"/>
      <c r="L915" s="13" t="str">
        <f>IF(C915="","",IF(COUNTIFS(Parametry!$C$54:$C$113,E915)=1,INDEX(Parametry!$D$54:$D$113,MATCH(E915,Parametry!$C$54:$C$113,0)),""))</f>
        <v/>
      </c>
      <c r="M915" s="7">
        <f t="shared" si="42"/>
        <v>0</v>
      </c>
      <c r="N915" s="13">
        <f>IF(AND(ISNUMBER(D915),ISNUMBER(Parametry!$G$6)),IF(AND(YEAR(D915)=Parametry!$G$6,M915&lt;=Parametry!$G$7),1,0),0)</f>
        <v>0</v>
      </c>
      <c r="O915" s="13">
        <f>IF(C915="",IF(COUNTA(D915:J915)&gt;0,1,0),IF(OR(COUNTIFS($C$9:$C$1008,C915)&lt;&gt;1,NOT(ISNUMBER(D915)),NOT(ISNUMBER(I915)),L915="",AND(F915&lt;&gt;"",COUNTIFS(Umowy!$C$9:$C$108,F915,Umowy!$D$9:$D$108,L915)&lt;&gt;1)),1,0))</f>
        <v>0</v>
      </c>
      <c r="P915" s="7" t="str">
        <f t="shared" si="43"/>
        <v/>
      </c>
      <c r="Q915" s="7" t="str">
        <f t="shared" si="44"/>
        <v/>
      </c>
    </row>
    <row r="916" spans="1:17" ht="24" customHeight="1">
      <c r="A916" s="7"/>
      <c r="B916" s="7"/>
      <c r="C916" s="3"/>
      <c r="D916" s="2"/>
      <c r="E916" s="3"/>
      <c r="F916" s="3"/>
      <c r="G916" s="3"/>
      <c r="H916" s="3"/>
      <c r="I916" s="6"/>
      <c r="J916" s="3"/>
      <c r="K916" s="7"/>
      <c r="L916" s="13" t="str">
        <f>IF(C916="","",IF(COUNTIFS(Parametry!$C$54:$C$113,E916)=1,INDEX(Parametry!$D$54:$D$113,MATCH(E916,Parametry!$C$54:$C$113,0)),""))</f>
        <v/>
      </c>
      <c r="M916" s="7">
        <f t="shared" si="42"/>
        <v>0</v>
      </c>
      <c r="N916" s="13">
        <f>IF(AND(ISNUMBER(D916),ISNUMBER(Parametry!$G$6)),IF(AND(YEAR(D916)=Parametry!$G$6,M916&lt;=Parametry!$G$7),1,0),0)</f>
        <v>0</v>
      </c>
      <c r="O916" s="13">
        <f>IF(C916="",IF(COUNTA(D916:J916)&gt;0,1,0),IF(OR(COUNTIFS($C$9:$C$1008,C916)&lt;&gt;1,NOT(ISNUMBER(D916)),NOT(ISNUMBER(I916)),L916="",AND(F916&lt;&gt;"",COUNTIFS(Umowy!$C$9:$C$108,F916,Umowy!$D$9:$D$108,L916)&lt;&gt;1)),1,0))</f>
        <v>0</v>
      </c>
      <c r="P916" s="7" t="str">
        <f t="shared" si="43"/>
        <v/>
      </c>
      <c r="Q916" s="7" t="str">
        <f t="shared" si="44"/>
        <v/>
      </c>
    </row>
    <row r="917" spans="1:17" ht="24" customHeight="1">
      <c r="A917" s="7"/>
      <c r="B917" s="7"/>
      <c r="C917" s="3"/>
      <c r="D917" s="2"/>
      <c r="E917" s="3"/>
      <c r="F917" s="3"/>
      <c r="G917" s="3"/>
      <c r="H917" s="3"/>
      <c r="I917" s="6"/>
      <c r="J917" s="3"/>
      <c r="K917" s="7"/>
      <c r="L917" s="13" t="str">
        <f>IF(C917="","",IF(COUNTIFS(Parametry!$C$54:$C$113,E917)=1,INDEX(Parametry!$D$54:$D$113,MATCH(E917,Parametry!$C$54:$C$113,0)),""))</f>
        <v/>
      </c>
      <c r="M917" s="7">
        <f t="shared" si="42"/>
        <v>0</v>
      </c>
      <c r="N917" s="13">
        <f>IF(AND(ISNUMBER(D917),ISNUMBER(Parametry!$G$6)),IF(AND(YEAR(D917)=Parametry!$G$6,M917&lt;=Parametry!$G$7),1,0),0)</f>
        <v>0</v>
      </c>
      <c r="O917" s="13">
        <f>IF(C917="",IF(COUNTA(D917:J917)&gt;0,1,0),IF(OR(COUNTIFS($C$9:$C$1008,C917)&lt;&gt;1,NOT(ISNUMBER(D917)),NOT(ISNUMBER(I917)),L917="",AND(F917&lt;&gt;"",COUNTIFS(Umowy!$C$9:$C$108,F917,Umowy!$D$9:$D$108,L917)&lt;&gt;1)),1,0))</f>
        <v>0</v>
      </c>
      <c r="P917" s="7" t="str">
        <f t="shared" si="43"/>
        <v/>
      </c>
      <c r="Q917" s="7" t="str">
        <f t="shared" si="44"/>
        <v/>
      </c>
    </row>
    <row r="918" spans="1:17" ht="24" customHeight="1">
      <c r="A918" s="7"/>
      <c r="B918" s="7"/>
      <c r="C918" s="3"/>
      <c r="D918" s="2"/>
      <c r="E918" s="3"/>
      <c r="F918" s="3"/>
      <c r="G918" s="3"/>
      <c r="H918" s="3"/>
      <c r="I918" s="6"/>
      <c r="J918" s="3"/>
      <c r="K918" s="7"/>
      <c r="L918" s="13" t="str">
        <f>IF(C918="","",IF(COUNTIFS(Parametry!$C$54:$C$113,E918)=1,INDEX(Parametry!$D$54:$D$113,MATCH(E918,Parametry!$C$54:$C$113,0)),""))</f>
        <v/>
      </c>
      <c r="M918" s="7">
        <f t="shared" si="42"/>
        <v>0</v>
      </c>
      <c r="N918" s="13">
        <f>IF(AND(ISNUMBER(D918),ISNUMBER(Parametry!$G$6)),IF(AND(YEAR(D918)=Parametry!$G$6,M918&lt;=Parametry!$G$7),1,0),0)</f>
        <v>0</v>
      </c>
      <c r="O918" s="13">
        <f>IF(C918="",IF(COUNTA(D918:J918)&gt;0,1,0),IF(OR(COUNTIFS($C$9:$C$1008,C918)&lt;&gt;1,NOT(ISNUMBER(D918)),NOT(ISNUMBER(I918)),L918="",AND(F918&lt;&gt;"",COUNTIFS(Umowy!$C$9:$C$108,F918,Umowy!$D$9:$D$108,L918)&lt;&gt;1)),1,0))</f>
        <v>0</v>
      </c>
      <c r="P918" s="7" t="str">
        <f t="shared" si="43"/>
        <v/>
      </c>
      <c r="Q918" s="7" t="str">
        <f t="shared" si="44"/>
        <v/>
      </c>
    </row>
    <row r="919" spans="1:17" ht="24" customHeight="1">
      <c r="A919" s="7"/>
      <c r="B919" s="7"/>
      <c r="C919" s="3"/>
      <c r="D919" s="2"/>
      <c r="E919" s="3"/>
      <c r="F919" s="3"/>
      <c r="G919" s="3"/>
      <c r="H919" s="3"/>
      <c r="I919" s="6"/>
      <c r="J919" s="3"/>
      <c r="K919" s="7"/>
      <c r="L919" s="13" t="str">
        <f>IF(C919="","",IF(COUNTIFS(Parametry!$C$54:$C$113,E919)=1,INDEX(Parametry!$D$54:$D$113,MATCH(E919,Parametry!$C$54:$C$113,0)),""))</f>
        <v/>
      </c>
      <c r="M919" s="7">
        <f t="shared" si="42"/>
        <v>0</v>
      </c>
      <c r="N919" s="13">
        <f>IF(AND(ISNUMBER(D919),ISNUMBER(Parametry!$G$6)),IF(AND(YEAR(D919)=Parametry!$G$6,M919&lt;=Parametry!$G$7),1,0),0)</f>
        <v>0</v>
      </c>
      <c r="O919" s="13">
        <f>IF(C919="",IF(COUNTA(D919:J919)&gt;0,1,0),IF(OR(COUNTIFS($C$9:$C$1008,C919)&lt;&gt;1,NOT(ISNUMBER(D919)),NOT(ISNUMBER(I919)),L919="",AND(F919&lt;&gt;"",COUNTIFS(Umowy!$C$9:$C$108,F919,Umowy!$D$9:$D$108,L919)&lt;&gt;1)),1,0))</f>
        <v>0</v>
      </c>
      <c r="P919" s="7" t="str">
        <f t="shared" si="43"/>
        <v/>
      </c>
      <c r="Q919" s="7" t="str">
        <f t="shared" si="44"/>
        <v/>
      </c>
    </row>
    <row r="920" spans="1:17" ht="24" customHeight="1">
      <c r="A920" s="7"/>
      <c r="B920" s="7"/>
      <c r="C920" s="3"/>
      <c r="D920" s="2"/>
      <c r="E920" s="3"/>
      <c r="F920" s="3"/>
      <c r="G920" s="3"/>
      <c r="H920" s="3"/>
      <c r="I920" s="6"/>
      <c r="J920" s="3"/>
      <c r="K920" s="7"/>
      <c r="L920" s="13" t="str">
        <f>IF(C920="","",IF(COUNTIFS(Parametry!$C$54:$C$113,E920)=1,INDEX(Parametry!$D$54:$D$113,MATCH(E920,Parametry!$C$54:$C$113,0)),""))</f>
        <v/>
      </c>
      <c r="M920" s="7">
        <f t="shared" si="42"/>
        <v>0</v>
      </c>
      <c r="N920" s="13">
        <f>IF(AND(ISNUMBER(D920),ISNUMBER(Parametry!$G$6)),IF(AND(YEAR(D920)=Parametry!$G$6,M920&lt;=Parametry!$G$7),1,0),0)</f>
        <v>0</v>
      </c>
      <c r="O920" s="13">
        <f>IF(C920="",IF(COUNTA(D920:J920)&gt;0,1,0),IF(OR(COUNTIFS($C$9:$C$1008,C920)&lt;&gt;1,NOT(ISNUMBER(D920)),NOT(ISNUMBER(I920)),L920="",AND(F920&lt;&gt;"",COUNTIFS(Umowy!$C$9:$C$108,F920,Umowy!$D$9:$D$108,L920)&lt;&gt;1)),1,0))</f>
        <v>0</v>
      </c>
      <c r="P920" s="7" t="str">
        <f t="shared" si="43"/>
        <v/>
      </c>
      <c r="Q920" s="7" t="str">
        <f t="shared" si="44"/>
        <v/>
      </c>
    </row>
    <row r="921" spans="1:17" ht="24" customHeight="1">
      <c r="A921" s="7"/>
      <c r="B921" s="7"/>
      <c r="C921" s="3"/>
      <c r="D921" s="2"/>
      <c r="E921" s="3"/>
      <c r="F921" s="3"/>
      <c r="G921" s="3"/>
      <c r="H921" s="3"/>
      <c r="I921" s="6"/>
      <c r="J921" s="3"/>
      <c r="K921" s="7"/>
      <c r="L921" s="13" t="str">
        <f>IF(C921="","",IF(COUNTIFS(Parametry!$C$54:$C$113,E921)=1,INDEX(Parametry!$D$54:$D$113,MATCH(E921,Parametry!$C$54:$C$113,0)),""))</f>
        <v/>
      </c>
      <c r="M921" s="7">
        <f t="shared" si="42"/>
        <v>0</v>
      </c>
      <c r="N921" s="13">
        <f>IF(AND(ISNUMBER(D921),ISNUMBER(Parametry!$G$6)),IF(AND(YEAR(D921)=Parametry!$G$6,M921&lt;=Parametry!$G$7),1,0),0)</f>
        <v>0</v>
      </c>
      <c r="O921" s="13">
        <f>IF(C921="",IF(COUNTA(D921:J921)&gt;0,1,0),IF(OR(COUNTIFS($C$9:$C$1008,C921)&lt;&gt;1,NOT(ISNUMBER(D921)),NOT(ISNUMBER(I921)),L921="",AND(F921&lt;&gt;"",COUNTIFS(Umowy!$C$9:$C$108,F921,Umowy!$D$9:$D$108,L921)&lt;&gt;1)),1,0))</f>
        <v>0</v>
      </c>
      <c r="P921" s="7" t="str">
        <f t="shared" si="43"/>
        <v/>
      </c>
      <c r="Q921" s="7" t="str">
        <f t="shared" si="44"/>
        <v/>
      </c>
    </row>
    <row r="922" spans="1:17" ht="24" customHeight="1">
      <c r="A922" s="7"/>
      <c r="B922" s="7"/>
      <c r="C922" s="3"/>
      <c r="D922" s="2"/>
      <c r="E922" s="3"/>
      <c r="F922" s="3"/>
      <c r="G922" s="3"/>
      <c r="H922" s="3"/>
      <c r="I922" s="6"/>
      <c r="J922" s="3"/>
      <c r="K922" s="7"/>
      <c r="L922" s="13" t="str">
        <f>IF(C922="","",IF(COUNTIFS(Parametry!$C$54:$C$113,E922)=1,INDEX(Parametry!$D$54:$D$113,MATCH(E922,Parametry!$C$54:$C$113,0)),""))</f>
        <v/>
      </c>
      <c r="M922" s="7">
        <f t="shared" si="42"/>
        <v>0</v>
      </c>
      <c r="N922" s="13">
        <f>IF(AND(ISNUMBER(D922),ISNUMBER(Parametry!$G$6)),IF(AND(YEAR(D922)=Parametry!$G$6,M922&lt;=Parametry!$G$7),1,0),0)</f>
        <v>0</v>
      </c>
      <c r="O922" s="13">
        <f>IF(C922="",IF(COUNTA(D922:J922)&gt;0,1,0),IF(OR(COUNTIFS($C$9:$C$1008,C922)&lt;&gt;1,NOT(ISNUMBER(D922)),NOT(ISNUMBER(I922)),L922="",AND(F922&lt;&gt;"",COUNTIFS(Umowy!$C$9:$C$108,F922,Umowy!$D$9:$D$108,L922)&lt;&gt;1)),1,0))</f>
        <v>0</v>
      </c>
      <c r="P922" s="7" t="str">
        <f t="shared" si="43"/>
        <v/>
      </c>
      <c r="Q922" s="7" t="str">
        <f t="shared" si="44"/>
        <v/>
      </c>
    </row>
    <row r="923" spans="1:17" ht="24" customHeight="1">
      <c r="A923" s="7"/>
      <c r="B923" s="7"/>
      <c r="C923" s="3"/>
      <c r="D923" s="2"/>
      <c r="E923" s="3"/>
      <c r="F923" s="3"/>
      <c r="G923" s="3"/>
      <c r="H923" s="3"/>
      <c r="I923" s="6"/>
      <c r="J923" s="3"/>
      <c r="K923" s="7"/>
      <c r="L923" s="13" t="str">
        <f>IF(C923="","",IF(COUNTIFS(Parametry!$C$54:$C$113,E923)=1,INDEX(Parametry!$D$54:$D$113,MATCH(E923,Parametry!$C$54:$C$113,0)),""))</f>
        <v/>
      </c>
      <c r="M923" s="7">
        <f t="shared" si="42"/>
        <v>0</v>
      </c>
      <c r="N923" s="13">
        <f>IF(AND(ISNUMBER(D923),ISNUMBER(Parametry!$G$6)),IF(AND(YEAR(D923)=Parametry!$G$6,M923&lt;=Parametry!$G$7),1,0),0)</f>
        <v>0</v>
      </c>
      <c r="O923" s="13">
        <f>IF(C923="",IF(COUNTA(D923:J923)&gt;0,1,0),IF(OR(COUNTIFS($C$9:$C$1008,C923)&lt;&gt;1,NOT(ISNUMBER(D923)),NOT(ISNUMBER(I923)),L923="",AND(F923&lt;&gt;"",COUNTIFS(Umowy!$C$9:$C$108,F923,Umowy!$D$9:$D$108,L923)&lt;&gt;1)),1,0))</f>
        <v>0</v>
      </c>
      <c r="P923" s="7" t="str">
        <f t="shared" si="43"/>
        <v/>
      </c>
      <c r="Q923" s="7" t="str">
        <f t="shared" si="44"/>
        <v/>
      </c>
    </row>
    <row r="924" spans="1:17" ht="24" customHeight="1">
      <c r="A924" s="7"/>
      <c r="B924" s="7"/>
      <c r="C924" s="3"/>
      <c r="D924" s="2"/>
      <c r="E924" s="3"/>
      <c r="F924" s="3"/>
      <c r="G924" s="3"/>
      <c r="H924" s="3"/>
      <c r="I924" s="6"/>
      <c r="J924" s="3"/>
      <c r="K924" s="7"/>
      <c r="L924" s="13" t="str">
        <f>IF(C924="","",IF(COUNTIFS(Parametry!$C$54:$C$113,E924)=1,INDEX(Parametry!$D$54:$D$113,MATCH(E924,Parametry!$C$54:$C$113,0)),""))</f>
        <v/>
      </c>
      <c r="M924" s="7">
        <f t="shared" si="42"/>
        <v>0</v>
      </c>
      <c r="N924" s="13">
        <f>IF(AND(ISNUMBER(D924),ISNUMBER(Parametry!$G$6)),IF(AND(YEAR(D924)=Parametry!$G$6,M924&lt;=Parametry!$G$7),1,0),0)</f>
        <v>0</v>
      </c>
      <c r="O924" s="13">
        <f>IF(C924="",IF(COUNTA(D924:J924)&gt;0,1,0),IF(OR(COUNTIFS($C$9:$C$1008,C924)&lt;&gt;1,NOT(ISNUMBER(D924)),NOT(ISNUMBER(I924)),L924="",AND(F924&lt;&gt;"",COUNTIFS(Umowy!$C$9:$C$108,F924,Umowy!$D$9:$D$108,L924)&lt;&gt;1)),1,0))</f>
        <v>0</v>
      </c>
      <c r="P924" s="7" t="str">
        <f t="shared" si="43"/>
        <v/>
      </c>
      <c r="Q924" s="7" t="str">
        <f t="shared" si="44"/>
        <v/>
      </c>
    </row>
    <row r="925" spans="1:17" ht="24" customHeight="1">
      <c r="A925" s="7"/>
      <c r="B925" s="7"/>
      <c r="C925" s="3"/>
      <c r="D925" s="2"/>
      <c r="E925" s="3"/>
      <c r="F925" s="3"/>
      <c r="G925" s="3"/>
      <c r="H925" s="3"/>
      <c r="I925" s="6"/>
      <c r="J925" s="3"/>
      <c r="K925" s="7"/>
      <c r="L925" s="13" t="str">
        <f>IF(C925="","",IF(COUNTIFS(Parametry!$C$54:$C$113,E925)=1,INDEX(Parametry!$D$54:$D$113,MATCH(E925,Parametry!$C$54:$C$113,0)),""))</f>
        <v/>
      </c>
      <c r="M925" s="7">
        <f t="shared" si="42"/>
        <v>0</v>
      </c>
      <c r="N925" s="13">
        <f>IF(AND(ISNUMBER(D925),ISNUMBER(Parametry!$G$6)),IF(AND(YEAR(D925)=Parametry!$G$6,M925&lt;=Parametry!$G$7),1,0),0)</f>
        <v>0</v>
      </c>
      <c r="O925" s="13">
        <f>IF(C925="",IF(COUNTA(D925:J925)&gt;0,1,0),IF(OR(COUNTIFS($C$9:$C$1008,C925)&lt;&gt;1,NOT(ISNUMBER(D925)),NOT(ISNUMBER(I925)),L925="",AND(F925&lt;&gt;"",COUNTIFS(Umowy!$C$9:$C$108,F925,Umowy!$D$9:$D$108,L925)&lt;&gt;1)),1,0))</f>
        <v>0</v>
      </c>
      <c r="P925" s="7" t="str">
        <f t="shared" si="43"/>
        <v/>
      </c>
      <c r="Q925" s="7" t="str">
        <f t="shared" si="44"/>
        <v/>
      </c>
    </row>
    <row r="926" spans="1:17" ht="24" customHeight="1">
      <c r="A926" s="7"/>
      <c r="B926" s="7"/>
      <c r="C926" s="3"/>
      <c r="D926" s="2"/>
      <c r="E926" s="3"/>
      <c r="F926" s="3"/>
      <c r="G926" s="3"/>
      <c r="H926" s="3"/>
      <c r="I926" s="6"/>
      <c r="J926" s="3"/>
      <c r="K926" s="7"/>
      <c r="L926" s="13" t="str">
        <f>IF(C926="","",IF(COUNTIFS(Parametry!$C$54:$C$113,E926)=1,INDEX(Parametry!$D$54:$D$113,MATCH(E926,Parametry!$C$54:$C$113,0)),""))</f>
        <v/>
      </c>
      <c r="M926" s="7">
        <f t="shared" si="42"/>
        <v>0</v>
      </c>
      <c r="N926" s="13">
        <f>IF(AND(ISNUMBER(D926),ISNUMBER(Parametry!$G$6)),IF(AND(YEAR(D926)=Parametry!$G$6,M926&lt;=Parametry!$G$7),1,0),0)</f>
        <v>0</v>
      </c>
      <c r="O926" s="13">
        <f>IF(C926="",IF(COUNTA(D926:J926)&gt;0,1,0),IF(OR(COUNTIFS($C$9:$C$1008,C926)&lt;&gt;1,NOT(ISNUMBER(D926)),NOT(ISNUMBER(I926)),L926="",AND(F926&lt;&gt;"",COUNTIFS(Umowy!$C$9:$C$108,F926,Umowy!$D$9:$D$108,L926)&lt;&gt;1)),1,0))</f>
        <v>0</v>
      </c>
      <c r="P926" s="7" t="str">
        <f t="shared" si="43"/>
        <v/>
      </c>
      <c r="Q926" s="7" t="str">
        <f t="shared" si="44"/>
        <v/>
      </c>
    </row>
    <row r="927" spans="1:17" ht="24" customHeight="1">
      <c r="A927" s="7"/>
      <c r="B927" s="7"/>
      <c r="C927" s="3"/>
      <c r="D927" s="2"/>
      <c r="E927" s="3"/>
      <c r="F927" s="3"/>
      <c r="G927" s="3"/>
      <c r="H927" s="3"/>
      <c r="I927" s="6"/>
      <c r="J927" s="3"/>
      <c r="K927" s="7"/>
      <c r="L927" s="13" t="str">
        <f>IF(C927="","",IF(COUNTIFS(Parametry!$C$54:$C$113,E927)=1,INDEX(Parametry!$D$54:$D$113,MATCH(E927,Parametry!$C$54:$C$113,0)),""))</f>
        <v/>
      </c>
      <c r="M927" s="7">
        <f t="shared" si="42"/>
        <v>0</v>
      </c>
      <c r="N927" s="13">
        <f>IF(AND(ISNUMBER(D927),ISNUMBER(Parametry!$G$6)),IF(AND(YEAR(D927)=Parametry!$G$6,M927&lt;=Parametry!$G$7),1,0),0)</f>
        <v>0</v>
      </c>
      <c r="O927" s="13">
        <f>IF(C927="",IF(COUNTA(D927:J927)&gt;0,1,0),IF(OR(COUNTIFS($C$9:$C$1008,C927)&lt;&gt;1,NOT(ISNUMBER(D927)),NOT(ISNUMBER(I927)),L927="",AND(F927&lt;&gt;"",COUNTIFS(Umowy!$C$9:$C$108,F927,Umowy!$D$9:$D$108,L927)&lt;&gt;1)),1,0))</f>
        <v>0</v>
      </c>
      <c r="P927" s="7" t="str">
        <f t="shared" si="43"/>
        <v/>
      </c>
      <c r="Q927" s="7" t="str">
        <f t="shared" si="44"/>
        <v/>
      </c>
    </row>
    <row r="928" spans="1:17" ht="24" customHeight="1">
      <c r="A928" s="7"/>
      <c r="B928" s="7"/>
      <c r="C928" s="3"/>
      <c r="D928" s="2"/>
      <c r="E928" s="3"/>
      <c r="F928" s="3"/>
      <c r="G928" s="3"/>
      <c r="H928" s="3"/>
      <c r="I928" s="6"/>
      <c r="J928" s="3"/>
      <c r="K928" s="7"/>
      <c r="L928" s="13" t="str">
        <f>IF(C928="","",IF(COUNTIFS(Parametry!$C$54:$C$113,E928)=1,INDEX(Parametry!$D$54:$D$113,MATCH(E928,Parametry!$C$54:$C$113,0)),""))</f>
        <v/>
      </c>
      <c r="M928" s="7">
        <f t="shared" si="42"/>
        <v>0</v>
      </c>
      <c r="N928" s="13">
        <f>IF(AND(ISNUMBER(D928),ISNUMBER(Parametry!$G$6)),IF(AND(YEAR(D928)=Parametry!$G$6,M928&lt;=Parametry!$G$7),1,0),0)</f>
        <v>0</v>
      </c>
      <c r="O928" s="13">
        <f>IF(C928="",IF(COUNTA(D928:J928)&gt;0,1,0),IF(OR(COUNTIFS($C$9:$C$1008,C928)&lt;&gt;1,NOT(ISNUMBER(D928)),NOT(ISNUMBER(I928)),L928="",AND(F928&lt;&gt;"",COUNTIFS(Umowy!$C$9:$C$108,F928,Umowy!$D$9:$D$108,L928)&lt;&gt;1)),1,0))</f>
        <v>0</v>
      </c>
      <c r="P928" s="7" t="str">
        <f t="shared" si="43"/>
        <v/>
      </c>
      <c r="Q928" s="7" t="str">
        <f t="shared" si="44"/>
        <v/>
      </c>
    </row>
    <row r="929" spans="1:17" ht="24" customHeight="1">
      <c r="A929" s="7"/>
      <c r="B929" s="7"/>
      <c r="C929" s="3"/>
      <c r="D929" s="2"/>
      <c r="E929" s="3"/>
      <c r="F929" s="3"/>
      <c r="G929" s="3"/>
      <c r="H929" s="3"/>
      <c r="I929" s="6"/>
      <c r="J929" s="3"/>
      <c r="K929" s="7"/>
      <c r="L929" s="13" t="str">
        <f>IF(C929="","",IF(COUNTIFS(Parametry!$C$54:$C$113,E929)=1,INDEX(Parametry!$D$54:$D$113,MATCH(E929,Parametry!$C$54:$C$113,0)),""))</f>
        <v/>
      </c>
      <c r="M929" s="7">
        <f t="shared" si="42"/>
        <v>0</v>
      </c>
      <c r="N929" s="13">
        <f>IF(AND(ISNUMBER(D929),ISNUMBER(Parametry!$G$6)),IF(AND(YEAR(D929)=Parametry!$G$6,M929&lt;=Parametry!$G$7),1,0),0)</f>
        <v>0</v>
      </c>
      <c r="O929" s="13">
        <f>IF(C929="",IF(COUNTA(D929:J929)&gt;0,1,0),IF(OR(COUNTIFS($C$9:$C$1008,C929)&lt;&gt;1,NOT(ISNUMBER(D929)),NOT(ISNUMBER(I929)),L929="",AND(F929&lt;&gt;"",COUNTIFS(Umowy!$C$9:$C$108,F929,Umowy!$D$9:$D$108,L929)&lt;&gt;1)),1,0))</f>
        <v>0</v>
      </c>
      <c r="P929" s="7" t="str">
        <f t="shared" si="43"/>
        <v/>
      </c>
      <c r="Q929" s="7" t="str">
        <f t="shared" si="44"/>
        <v/>
      </c>
    </row>
    <row r="930" spans="1:17" ht="24" customHeight="1">
      <c r="A930" s="7"/>
      <c r="B930" s="7"/>
      <c r="C930" s="3"/>
      <c r="D930" s="2"/>
      <c r="E930" s="3"/>
      <c r="F930" s="3"/>
      <c r="G930" s="3"/>
      <c r="H930" s="3"/>
      <c r="I930" s="6"/>
      <c r="J930" s="3"/>
      <c r="K930" s="7"/>
      <c r="L930" s="13" t="str">
        <f>IF(C930="","",IF(COUNTIFS(Parametry!$C$54:$C$113,E930)=1,INDEX(Parametry!$D$54:$D$113,MATCH(E930,Parametry!$C$54:$C$113,0)),""))</f>
        <v/>
      </c>
      <c r="M930" s="7">
        <f t="shared" si="42"/>
        <v>0</v>
      </c>
      <c r="N930" s="13">
        <f>IF(AND(ISNUMBER(D930),ISNUMBER(Parametry!$G$6)),IF(AND(YEAR(D930)=Parametry!$G$6,M930&lt;=Parametry!$G$7),1,0),0)</f>
        <v>0</v>
      </c>
      <c r="O930" s="13">
        <f>IF(C930="",IF(COUNTA(D930:J930)&gt;0,1,0),IF(OR(COUNTIFS($C$9:$C$1008,C930)&lt;&gt;1,NOT(ISNUMBER(D930)),NOT(ISNUMBER(I930)),L930="",AND(F930&lt;&gt;"",COUNTIFS(Umowy!$C$9:$C$108,F930,Umowy!$D$9:$D$108,L930)&lt;&gt;1)),1,0))</f>
        <v>0</v>
      </c>
      <c r="P930" s="7" t="str">
        <f t="shared" si="43"/>
        <v/>
      </c>
      <c r="Q930" s="7" t="str">
        <f t="shared" si="44"/>
        <v/>
      </c>
    </row>
    <row r="931" spans="1:17" ht="24" customHeight="1">
      <c r="A931" s="7"/>
      <c r="B931" s="7"/>
      <c r="C931" s="3"/>
      <c r="D931" s="2"/>
      <c r="E931" s="3"/>
      <c r="F931" s="3"/>
      <c r="G931" s="3"/>
      <c r="H931" s="3"/>
      <c r="I931" s="6"/>
      <c r="J931" s="3"/>
      <c r="K931" s="7"/>
      <c r="L931" s="13" t="str">
        <f>IF(C931="","",IF(COUNTIFS(Parametry!$C$54:$C$113,E931)=1,INDEX(Parametry!$D$54:$D$113,MATCH(E931,Parametry!$C$54:$C$113,0)),""))</f>
        <v/>
      </c>
      <c r="M931" s="7">
        <f t="shared" si="42"/>
        <v>0</v>
      </c>
      <c r="N931" s="13">
        <f>IF(AND(ISNUMBER(D931),ISNUMBER(Parametry!$G$6)),IF(AND(YEAR(D931)=Parametry!$G$6,M931&lt;=Parametry!$G$7),1,0),0)</f>
        <v>0</v>
      </c>
      <c r="O931" s="13">
        <f>IF(C931="",IF(COUNTA(D931:J931)&gt;0,1,0),IF(OR(COUNTIFS($C$9:$C$1008,C931)&lt;&gt;1,NOT(ISNUMBER(D931)),NOT(ISNUMBER(I931)),L931="",AND(F931&lt;&gt;"",COUNTIFS(Umowy!$C$9:$C$108,F931,Umowy!$D$9:$D$108,L931)&lt;&gt;1)),1,0))</f>
        <v>0</v>
      </c>
      <c r="P931" s="7" t="str">
        <f t="shared" si="43"/>
        <v/>
      </c>
      <c r="Q931" s="7" t="str">
        <f t="shared" si="44"/>
        <v/>
      </c>
    </row>
    <row r="932" spans="1:17" ht="24" customHeight="1">
      <c r="A932" s="7"/>
      <c r="B932" s="7"/>
      <c r="C932" s="3"/>
      <c r="D932" s="2"/>
      <c r="E932" s="3"/>
      <c r="F932" s="3"/>
      <c r="G932" s="3"/>
      <c r="H932" s="3"/>
      <c r="I932" s="6"/>
      <c r="J932" s="3"/>
      <c r="K932" s="7"/>
      <c r="L932" s="13" t="str">
        <f>IF(C932="","",IF(COUNTIFS(Parametry!$C$54:$C$113,E932)=1,INDEX(Parametry!$D$54:$D$113,MATCH(E932,Parametry!$C$54:$C$113,0)),""))</f>
        <v/>
      </c>
      <c r="M932" s="7">
        <f t="shared" si="42"/>
        <v>0</v>
      </c>
      <c r="N932" s="13">
        <f>IF(AND(ISNUMBER(D932),ISNUMBER(Parametry!$G$6)),IF(AND(YEAR(D932)=Parametry!$G$6,M932&lt;=Parametry!$G$7),1,0),0)</f>
        <v>0</v>
      </c>
      <c r="O932" s="13">
        <f>IF(C932="",IF(COUNTA(D932:J932)&gt;0,1,0),IF(OR(COUNTIFS($C$9:$C$1008,C932)&lt;&gt;1,NOT(ISNUMBER(D932)),NOT(ISNUMBER(I932)),L932="",AND(F932&lt;&gt;"",COUNTIFS(Umowy!$C$9:$C$108,F932,Umowy!$D$9:$D$108,L932)&lt;&gt;1)),1,0))</f>
        <v>0</v>
      </c>
      <c r="P932" s="7" t="str">
        <f t="shared" si="43"/>
        <v/>
      </c>
      <c r="Q932" s="7" t="str">
        <f t="shared" si="44"/>
        <v/>
      </c>
    </row>
    <row r="933" spans="1:17" ht="24" customHeight="1">
      <c r="A933" s="7"/>
      <c r="B933" s="7"/>
      <c r="C933" s="3"/>
      <c r="D933" s="2"/>
      <c r="E933" s="3"/>
      <c r="F933" s="3"/>
      <c r="G933" s="3"/>
      <c r="H933" s="3"/>
      <c r="I933" s="6"/>
      <c r="J933" s="3"/>
      <c r="K933" s="7"/>
      <c r="L933" s="13" t="str">
        <f>IF(C933="","",IF(COUNTIFS(Parametry!$C$54:$C$113,E933)=1,INDEX(Parametry!$D$54:$D$113,MATCH(E933,Parametry!$C$54:$C$113,0)),""))</f>
        <v/>
      </c>
      <c r="M933" s="7">
        <f t="shared" si="42"/>
        <v>0</v>
      </c>
      <c r="N933" s="13">
        <f>IF(AND(ISNUMBER(D933),ISNUMBER(Parametry!$G$6)),IF(AND(YEAR(D933)=Parametry!$G$6,M933&lt;=Parametry!$G$7),1,0),0)</f>
        <v>0</v>
      </c>
      <c r="O933" s="13">
        <f>IF(C933="",IF(COUNTA(D933:J933)&gt;0,1,0),IF(OR(COUNTIFS($C$9:$C$1008,C933)&lt;&gt;1,NOT(ISNUMBER(D933)),NOT(ISNUMBER(I933)),L933="",AND(F933&lt;&gt;"",COUNTIFS(Umowy!$C$9:$C$108,F933,Umowy!$D$9:$D$108,L933)&lt;&gt;1)),1,0))</f>
        <v>0</v>
      </c>
      <c r="P933" s="7" t="str">
        <f t="shared" si="43"/>
        <v/>
      </c>
      <c r="Q933" s="7" t="str">
        <f t="shared" si="44"/>
        <v/>
      </c>
    </row>
    <row r="934" spans="1:17" ht="24" customHeight="1">
      <c r="A934" s="7"/>
      <c r="B934" s="7"/>
      <c r="C934" s="3"/>
      <c r="D934" s="2"/>
      <c r="E934" s="3"/>
      <c r="F934" s="3"/>
      <c r="G934" s="3"/>
      <c r="H934" s="3"/>
      <c r="I934" s="6"/>
      <c r="J934" s="3"/>
      <c r="K934" s="7"/>
      <c r="L934" s="13" t="str">
        <f>IF(C934="","",IF(COUNTIFS(Parametry!$C$54:$C$113,E934)=1,INDEX(Parametry!$D$54:$D$113,MATCH(E934,Parametry!$C$54:$C$113,0)),""))</f>
        <v/>
      </c>
      <c r="M934" s="7">
        <f t="shared" si="42"/>
        <v>0</v>
      </c>
      <c r="N934" s="13">
        <f>IF(AND(ISNUMBER(D934),ISNUMBER(Parametry!$G$6)),IF(AND(YEAR(D934)=Parametry!$G$6,M934&lt;=Parametry!$G$7),1,0),0)</f>
        <v>0</v>
      </c>
      <c r="O934" s="13">
        <f>IF(C934="",IF(COUNTA(D934:J934)&gt;0,1,0),IF(OR(COUNTIFS($C$9:$C$1008,C934)&lt;&gt;1,NOT(ISNUMBER(D934)),NOT(ISNUMBER(I934)),L934="",AND(F934&lt;&gt;"",COUNTIFS(Umowy!$C$9:$C$108,F934,Umowy!$D$9:$D$108,L934)&lt;&gt;1)),1,0))</f>
        <v>0</v>
      </c>
      <c r="P934" s="7" t="str">
        <f t="shared" si="43"/>
        <v/>
      </c>
      <c r="Q934" s="7" t="str">
        <f t="shared" si="44"/>
        <v/>
      </c>
    </row>
    <row r="935" spans="1:17" ht="24" customHeight="1">
      <c r="A935" s="7"/>
      <c r="B935" s="7"/>
      <c r="C935" s="3"/>
      <c r="D935" s="2"/>
      <c r="E935" s="3"/>
      <c r="F935" s="3"/>
      <c r="G935" s="3"/>
      <c r="H935" s="3"/>
      <c r="I935" s="6"/>
      <c r="J935" s="3"/>
      <c r="K935" s="7"/>
      <c r="L935" s="13" t="str">
        <f>IF(C935="","",IF(COUNTIFS(Parametry!$C$54:$C$113,E935)=1,INDEX(Parametry!$D$54:$D$113,MATCH(E935,Parametry!$C$54:$C$113,0)),""))</f>
        <v/>
      </c>
      <c r="M935" s="7">
        <f t="shared" si="42"/>
        <v>0</v>
      </c>
      <c r="N935" s="13">
        <f>IF(AND(ISNUMBER(D935),ISNUMBER(Parametry!$G$6)),IF(AND(YEAR(D935)=Parametry!$G$6,M935&lt;=Parametry!$G$7),1,0),0)</f>
        <v>0</v>
      </c>
      <c r="O935" s="13">
        <f>IF(C935="",IF(COUNTA(D935:J935)&gt;0,1,0),IF(OR(COUNTIFS($C$9:$C$1008,C935)&lt;&gt;1,NOT(ISNUMBER(D935)),NOT(ISNUMBER(I935)),L935="",AND(F935&lt;&gt;"",COUNTIFS(Umowy!$C$9:$C$108,F935,Umowy!$D$9:$D$108,L935)&lt;&gt;1)),1,0))</f>
        <v>0</v>
      </c>
      <c r="P935" s="7" t="str">
        <f t="shared" si="43"/>
        <v/>
      </c>
      <c r="Q935" s="7" t="str">
        <f t="shared" si="44"/>
        <v/>
      </c>
    </row>
    <row r="936" spans="1:17" ht="24" customHeight="1">
      <c r="A936" s="7"/>
      <c r="B936" s="7"/>
      <c r="C936" s="3"/>
      <c r="D936" s="2"/>
      <c r="E936" s="3"/>
      <c r="F936" s="3"/>
      <c r="G936" s="3"/>
      <c r="H936" s="3"/>
      <c r="I936" s="6"/>
      <c r="J936" s="3"/>
      <c r="K936" s="7"/>
      <c r="L936" s="13" t="str">
        <f>IF(C936="","",IF(COUNTIFS(Parametry!$C$54:$C$113,E936)=1,INDEX(Parametry!$D$54:$D$113,MATCH(E936,Parametry!$C$54:$C$113,0)),""))</f>
        <v/>
      </c>
      <c r="M936" s="7">
        <f t="shared" si="42"/>
        <v>0</v>
      </c>
      <c r="N936" s="13">
        <f>IF(AND(ISNUMBER(D936),ISNUMBER(Parametry!$G$6)),IF(AND(YEAR(D936)=Parametry!$G$6,M936&lt;=Parametry!$G$7),1,0),0)</f>
        <v>0</v>
      </c>
      <c r="O936" s="13">
        <f>IF(C936="",IF(COUNTA(D936:J936)&gt;0,1,0),IF(OR(COUNTIFS($C$9:$C$1008,C936)&lt;&gt;1,NOT(ISNUMBER(D936)),NOT(ISNUMBER(I936)),L936="",AND(F936&lt;&gt;"",COUNTIFS(Umowy!$C$9:$C$108,F936,Umowy!$D$9:$D$108,L936)&lt;&gt;1)),1,0))</f>
        <v>0</v>
      </c>
      <c r="P936" s="7" t="str">
        <f t="shared" si="43"/>
        <v/>
      </c>
      <c r="Q936" s="7" t="str">
        <f t="shared" si="44"/>
        <v/>
      </c>
    </row>
    <row r="937" spans="1:17" ht="24" customHeight="1">
      <c r="A937" s="7"/>
      <c r="B937" s="7"/>
      <c r="C937" s="3"/>
      <c r="D937" s="2"/>
      <c r="E937" s="3"/>
      <c r="F937" s="3"/>
      <c r="G937" s="3"/>
      <c r="H937" s="3"/>
      <c r="I937" s="6"/>
      <c r="J937" s="3"/>
      <c r="K937" s="7"/>
      <c r="L937" s="13" t="str">
        <f>IF(C937="","",IF(COUNTIFS(Parametry!$C$54:$C$113,E937)=1,INDEX(Parametry!$D$54:$D$113,MATCH(E937,Parametry!$C$54:$C$113,0)),""))</f>
        <v/>
      </c>
      <c r="M937" s="7">
        <f t="shared" si="42"/>
        <v>0</v>
      </c>
      <c r="N937" s="13">
        <f>IF(AND(ISNUMBER(D937),ISNUMBER(Parametry!$G$6)),IF(AND(YEAR(D937)=Parametry!$G$6,M937&lt;=Parametry!$G$7),1,0),0)</f>
        <v>0</v>
      </c>
      <c r="O937" s="13">
        <f>IF(C937="",IF(COUNTA(D937:J937)&gt;0,1,0),IF(OR(COUNTIFS($C$9:$C$1008,C937)&lt;&gt;1,NOT(ISNUMBER(D937)),NOT(ISNUMBER(I937)),L937="",AND(F937&lt;&gt;"",COUNTIFS(Umowy!$C$9:$C$108,F937,Umowy!$D$9:$D$108,L937)&lt;&gt;1)),1,0))</f>
        <v>0</v>
      </c>
      <c r="P937" s="7" t="str">
        <f t="shared" si="43"/>
        <v/>
      </c>
      <c r="Q937" s="7" t="str">
        <f t="shared" si="44"/>
        <v/>
      </c>
    </row>
    <row r="938" spans="1:17" ht="24" customHeight="1">
      <c r="A938" s="7"/>
      <c r="B938" s="7"/>
      <c r="C938" s="3"/>
      <c r="D938" s="2"/>
      <c r="E938" s="3"/>
      <c r="F938" s="3"/>
      <c r="G938" s="3"/>
      <c r="H938" s="3"/>
      <c r="I938" s="6"/>
      <c r="J938" s="3"/>
      <c r="K938" s="7"/>
      <c r="L938" s="13" t="str">
        <f>IF(C938="","",IF(COUNTIFS(Parametry!$C$54:$C$113,E938)=1,INDEX(Parametry!$D$54:$D$113,MATCH(E938,Parametry!$C$54:$C$113,0)),""))</f>
        <v/>
      </c>
      <c r="M938" s="7">
        <f t="shared" si="42"/>
        <v>0</v>
      </c>
      <c r="N938" s="13">
        <f>IF(AND(ISNUMBER(D938),ISNUMBER(Parametry!$G$6)),IF(AND(YEAR(D938)=Parametry!$G$6,M938&lt;=Parametry!$G$7),1,0),0)</f>
        <v>0</v>
      </c>
      <c r="O938" s="13">
        <f>IF(C938="",IF(COUNTA(D938:J938)&gt;0,1,0),IF(OR(COUNTIFS($C$9:$C$1008,C938)&lt;&gt;1,NOT(ISNUMBER(D938)),NOT(ISNUMBER(I938)),L938="",AND(F938&lt;&gt;"",COUNTIFS(Umowy!$C$9:$C$108,F938,Umowy!$D$9:$D$108,L938)&lt;&gt;1)),1,0))</f>
        <v>0</v>
      </c>
      <c r="P938" s="7" t="str">
        <f t="shared" si="43"/>
        <v/>
      </c>
      <c r="Q938" s="7" t="str">
        <f t="shared" si="44"/>
        <v/>
      </c>
    </row>
    <row r="939" spans="1:17" ht="24" customHeight="1">
      <c r="A939" s="7"/>
      <c r="B939" s="7"/>
      <c r="C939" s="3"/>
      <c r="D939" s="2"/>
      <c r="E939" s="3"/>
      <c r="F939" s="3"/>
      <c r="G939" s="3"/>
      <c r="H939" s="3"/>
      <c r="I939" s="6"/>
      <c r="J939" s="3"/>
      <c r="K939" s="7"/>
      <c r="L939" s="13" t="str">
        <f>IF(C939="","",IF(COUNTIFS(Parametry!$C$54:$C$113,E939)=1,INDEX(Parametry!$D$54:$D$113,MATCH(E939,Parametry!$C$54:$C$113,0)),""))</f>
        <v/>
      </c>
      <c r="M939" s="7">
        <f t="shared" si="42"/>
        <v>0</v>
      </c>
      <c r="N939" s="13">
        <f>IF(AND(ISNUMBER(D939),ISNUMBER(Parametry!$G$6)),IF(AND(YEAR(D939)=Parametry!$G$6,M939&lt;=Parametry!$G$7),1,0),0)</f>
        <v>0</v>
      </c>
      <c r="O939" s="13">
        <f>IF(C939="",IF(COUNTA(D939:J939)&gt;0,1,0),IF(OR(COUNTIFS($C$9:$C$1008,C939)&lt;&gt;1,NOT(ISNUMBER(D939)),NOT(ISNUMBER(I939)),L939="",AND(F939&lt;&gt;"",COUNTIFS(Umowy!$C$9:$C$108,F939,Umowy!$D$9:$D$108,L939)&lt;&gt;1)),1,0))</f>
        <v>0</v>
      </c>
      <c r="P939" s="7" t="str">
        <f t="shared" si="43"/>
        <v/>
      </c>
      <c r="Q939" s="7" t="str">
        <f t="shared" si="44"/>
        <v/>
      </c>
    </row>
    <row r="940" spans="1:17" ht="24" customHeight="1">
      <c r="A940" s="7"/>
      <c r="B940" s="7"/>
      <c r="C940" s="3"/>
      <c r="D940" s="2"/>
      <c r="E940" s="3"/>
      <c r="F940" s="3"/>
      <c r="G940" s="3"/>
      <c r="H940" s="3"/>
      <c r="I940" s="6"/>
      <c r="J940" s="3"/>
      <c r="K940" s="7"/>
      <c r="L940" s="13" t="str">
        <f>IF(C940="","",IF(COUNTIFS(Parametry!$C$54:$C$113,E940)=1,INDEX(Parametry!$D$54:$D$113,MATCH(E940,Parametry!$C$54:$C$113,0)),""))</f>
        <v/>
      </c>
      <c r="M940" s="7">
        <f t="shared" si="42"/>
        <v>0</v>
      </c>
      <c r="N940" s="13">
        <f>IF(AND(ISNUMBER(D940),ISNUMBER(Parametry!$G$6)),IF(AND(YEAR(D940)=Parametry!$G$6,M940&lt;=Parametry!$G$7),1,0),0)</f>
        <v>0</v>
      </c>
      <c r="O940" s="13">
        <f>IF(C940="",IF(COUNTA(D940:J940)&gt;0,1,0),IF(OR(COUNTIFS($C$9:$C$1008,C940)&lt;&gt;1,NOT(ISNUMBER(D940)),NOT(ISNUMBER(I940)),L940="",AND(F940&lt;&gt;"",COUNTIFS(Umowy!$C$9:$C$108,F940,Umowy!$D$9:$D$108,L940)&lt;&gt;1)),1,0))</f>
        <v>0</v>
      </c>
      <c r="P940" s="7" t="str">
        <f t="shared" si="43"/>
        <v/>
      </c>
      <c r="Q940" s="7" t="str">
        <f t="shared" si="44"/>
        <v/>
      </c>
    </row>
    <row r="941" spans="1:17" ht="24" customHeight="1">
      <c r="A941" s="7"/>
      <c r="B941" s="7"/>
      <c r="C941" s="3"/>
      <c r="D941" s="2"/>
      <c r="E941" s="3"/>
      <c r="F941" s="3"/>
      <c r="G941" s="3"/>
      <c r="H941" s="3"/>
      <c r="I941" s="6"/>
      <c r="J941" s="3"/>
      <c r="K941" s="7"/>
      <c r="L941" s="13" t="str">
        <f>IF(C941="","",IF(COUNTIFS(Parametry!$C$54:$C$113,E941)=1,INDEX(Parametry!$D$54:$D$113,MATCH(E941,Parametry!$C$54:$C$113,0)),""))</f>
        <v/>
      </c>
      <c r="M941" s="7">
        <f t="shared" si="42"/>
        <v>0</v>
      </c>
      <c r="N941" s="13">
        <f>IF(AND(ISNUMBER(D941),ISNUMBER(Parametry!$G$6)),IF(AND(YEAR(D941)=Parametry!$G$6,M941&lt;=Parametry!$G$7),1,0),0)</f>
        <v>0</v>
      </c>
      <c r="O941" s="13">
        <f>IF(C941="",IF(COUNTA(D941:J941)&gt;0,1,0),IF(OR(COUNTIFS($C$9:$C$1008,C941)&lt;&gt;1,NOT(ISNUMBER(D941)),NOT(ISNUMBER(I941)),L941="",AND(F941&lt;&gt;"",COUNTIFS(Umowy!$C$9:$C$108,F941,Umowy!$D$9:$D$108,L941)&lt;&gt;1)),1,0))</f>
        <v>0</v>
      </c>
      <c r="P941" s="7" t="str">
        <f t="shared" si="43"/>
        <v/>
      </c>
      <c r="Q941" s="7" t="str">
        <f t="shared" si="44"/>
        <v/>
      </c>
    </row>
    <row r="942" spans="1:17" ht="24" customHeight="1">
      <c r="A942" s="7"/>
      <c r="B942" s="7"/>
      <c r="C942" s="3"/>
      <c r="D942" s="2"/>
      <c r="E942" s="3"/>
      <c r="F942" s="3"/>
      <c r="G942" s="3"/>
      <c r="H942" s="3"/>
      <c r="I942" s="6"/>
      <c r="J942" s="3"/>
      <c r="K942" s="7"/>
      <c r="L942" s="13" t="str">
        <f>IF(C942="","",IF(COUNTIFS(Parametry!$C$54:$C$113,E942)=1,INDEX(Parametry!$D$54:$D$113,MATCH(E942,Parametry!$C$54:$C$113,0)),""))</f>
        <v/>
      </c>
      <c r="M942" s="7">
        <f t="shared" si="42"/>
        <v>0</v>
      </c>
      <c r="N942" s="13">
        <f>IF(AND(ISNUMBER(D942),ISNUMBER(Parametry!$G$6)),IF(AND(YEAR(D942)=Parametry!$G$6,M942&lt;=Parametry!$G$7),1,0),0)</f>
        <v>0</v>
      </c>
      <c r="O942" s="13">
        <f>IF(C942="",IF(COUNTA(D942:J942)&gt;0,1,0),IF(OR(COUNTIFS($C$9:$C$1008,C942)&lt;&gt;1,NOT(ISNUMBER(D942)),NOT(ISNUMBER(I942)),L942="",AND(F942&lt;&gt;"",COUNTIFS(Umowy!$C$9:$C$108,F942,Umowy!$D$9:$D$108,L942)&lt;&gt;1)),1,0))</f>
        <v>0</v>
      </c>
      <c r="P942" s="7" t="str">
        <f t="shared" si="43"/>
        <v/>
      </c>
      <c r="Q942" s="7" t="str">
        <f t="shared" si="44"/>
        <v/>
      </c>
    </row>
    <row r="943" spans="1:17" ht="24" customHeight="1">
      <c r="A943" s="7"/>
      <c r="B943" s="7"/>
      <c r="C943" s="3"/>
      <c r="D943" s="2"/>
      <c r="E943" s="3"/>
      <c r="F943" s="3"/>
      <c r="G943" s="3"/>
      <c r="H943" s="3"/>
      <c r="I943" s="6"/>
      <c r="J943" s="3"/>
      <c r="K943" s="7"/>
      <c r="L943" s="13" t="str">
        <f>IF(C943="","",IF(COUNTIFS(Parametry!$C$54:$C$113,E943)=1,INDEX(Parametry!$D$54:$D$113,MATCH(E943,Parametry!$C$54:$C$113,0)),""))</f>
        <v/>
      </c>
      <c r="M943" s="7">
        <f t="shared" si="42"/>
        <v>0</v>
      </c>
      <c r="N943" s="13">
        <f>IF(AND(ISNUMBER(D943),ISNUMBER(Parametry!$G$6)),IF(AND(YEAR(D943)=Parametry!$G$6,M943&lt;=Parametry!$G$7),1,0),0)</f>
        <v>0</v>
      </c>
      <c r="O943" s="13">
        <f>IF(C943="",IF(COUNTA(D943:J943)&gt;0,1,0),IF(OR(COUNTIFS($C$9:$C$1008,C943)&lt;&gt;1,NOT(ISNUMBER(D943)),NOT(ISNUMBER(I943)),L943="",AND(F943&lt;&gt;"",COUNTIFS(Umowy!$C$9:$C$108,F943,Umowy!$D$9:$D$108,L943)&lt;&gt;1)),1,0))</f>
        <v>0</v>
      </c>
      <c r="P943" s="7" t="str">
        <f t="shared" si="43"/>
        <v/>
      </c>
      <c r="Q943" s="7" t="str">
        <f t="shared" si="44"/>
        <v/>
      </c>
    </row>
    <row r="944" spans="1:17" ht="24" customHeight="1">
      <c r="A944" s="7"/>
      <c r="B944" s="7"/>
      <c r="C944" s="3"/>
      <c r="D944" s="2"/>
      <c r="E944" s="3"/>
      <c r="F944" s="3"/>
      <c r="G944" s="3"/>
      <c r="H944" s="3"/>
      <c r="I944" s="6"/>
      <c r="J944" s="3"/>
      <c r="K944" s="7"/>
      <c r="L944" s="13" t="str">
        <f>IF(C944="","",IF(COUNTIFS(Parametry!$C$54:$C$113,E944)=1,INDEX(Parametry!$D$54:$D$113,MATCH(E944,Parametry!$C$54:$C$113,0)),""))</f>
        <v/>
      </c>
      <c r="M944" s="7">
        <f t="shared" si="42"/>
        <v>0</v>
      </c>
      <c r="N944" s="13">
        <f>IF(AND(ISNUMBER(D944),ISNUMBER(Parametry!$G$6)),IF(AND(YEAR(D944)=Parametry!$G$6,M944&lt;=Parametry!$G$7),1,0),0)</f>
        <v>0</v>
      </c>
      <c r="O944" s="13">
        <f>IF(C944="",IF(COUNTA(D944:J944)&gt;0,1,0),IF(OR(COUNTIFS($C$9:$C$1008,C944)&lt;&gt;1,NOT(ISNUMBER(D944)),NOT(ISNUMBER(I944)),L944="",AND(F944&lt;&gt;"",COUNTIFS(Umowy!$C$9:$C$108,F944,Umowy!$D$9:$D$108,L944)&lt;&gt;1)),1,0))</f>
        <v>0</v>
      </c>
      <c r="P944" s="7" t="str">
        <f t="shared" si="43"/>
        <v/>
      </c>
      <c r="Q944" s="7" t="str">
        <f t="shared" si="44"/>
        <v/>
      </c>
    </row>
    <row r="945" spans="1:17" ht="24" customHeight="1">
      <c r="A945" s="7"/>
      <c r="B945" s="7"/>
      <c r="C945" s="3"/>
      <c r="D945" s="2"/>
      <c r="E945" s="3"/>
      <c r="F945" s="3"/>
      <c r="G945" s="3"/>
      <c r="H945" s="3"/>
      <c r="I945" s="6"/>
      <c r="J945" s="3"/>
      <c r="K945" s="7"/>
      <c r="L945" s="13" t="str">
        <f>IF(C945="","",IF(COUNTIFS(Parametry!$C$54:$C$113,E945)=1,INDEX(Parametry!$D$54:$D$113,MATCH(E945,Parametry!$C$54:$C$113,0)),""))</f>
        <v/>
      </c>
      <c r="M945" s="7">
        <f t="shared" si="42"/>
        <v>0</v>
      </c>
      <c r="N945" s="13">
        <f>IF(AND(ISNUMBER(D945),ISNUMBER(Parametry!$G$6)),IF(AND(YEAR(D945)=Parametry!$G$6,M945&lt;=Parametry!$G$7),1,0),0)</f>
        <v>0</v>
      </c>
      <c r="O945" s="13">
        <f>IF(C945="",IF(COUNTA(D945:J945)&gt;0,1,0),IF(OR(COUNTIFS($C$9:$C$1008,C945)&lt;&gt;1,NOT(ISNUMBER(D945)),NOT(ISNUMBER(I945)),L945="",AND(F945&lt;&gt;"",COUNTIFS(Umowy!$C$9:$C$108,F945,Umowy!$D$9:$D$108,L945)&lt;&gt;1)),1,0))</f>
        <v>0</v>
      </c>
      <c r="P945" s="7" t="str">
        <f t="shared" si="43"/>
        <v/>
      </c>
      <c r="Q945" s="7" t="str">
        <f t="shared" si="44"/>
        <v/>
      </c>
    </row>
    <row r="946" spans="1:17" ht="24" customHeight="1">
      <c r="A946" s="7"/>
      <c r="B946" s="7"/>
      <c r="C946" s="3"/>
      <c r="D946" s="2"/>
      <c r="E946" s="3"/>
      <c r="F946" s="3"/>
      <c r="G946" s="3"/>
      <c r="H946" s="3"/>
      <c r="I946" s="6"/>
      <c r="J946" s="3"/>
      <c r="K946" s="7"/>
      <c r="L946" s="13" t="str">
        <f>IF(C946="","",IF(COUNTIFS(Parametry!$C$54:$C$113,E946)=1,INDEX(Parametry!$D$54:$D$113,MATCH(E946,Parametry!$C$54:$C$113,0)),""))</f>
        <v/>
      </c>
      <c r="M946" s="7">
        <f t="shared" si="42"/>
        <v>0</v>
      </c>
      <c r="N946" s="13">
        <f>IF(AND(ISNUMBER(D946),ISNUMBER(Parametry!$G$6)),IF(AND(YEAR(D946)=Parametry!$G$6,M946&lt;=Parametry!$G$7),1,0),0)</f>
        <v>0</v>
      </c>
      <c r="O946" s="13">
        <f>IF(C946="",IF(COUNTA(D946:J946)&gt;0,1,0),IF(OR(COUNTIFS($C$9:$C$1008,C946)&lt;&gt;1,NOT(ISNUMBER(D946)),NOT(ISNUMBER(I946)),L946="",AND(F946&lt;&gt;"",COUNTIFS(Umowy!$C$9:$C$108,F946,Umowy!$D$9:$D$108,L946)&lt;&gt;1)),1,0))</f>
        <v>0</v>
      </c>
      <c r="P946" s="7" t="str">
        <f t="shared" si="43"/>
        <v/>
      </c>
      <c r="Q946" s="7" t="str">
        <f t="shared" si="44"/>
        <v/>
      </c>
    </row>
    <row r="947" spans="1:17" ht="24" customHeight="1">
      <c r="A947" s="7"/>
      <c r="B947" s="7"/>
      <c r="C947" s="3"/>
      <c r="D947" s="2"/>
      <c r="E947" s="3"/>
      <c r="F947" s="3"/>
      <c r="G947" s="3"/>
      <c r="H947" s="3"/>
      <c r="I947" s="6"/>
      <c r="J947" s="3"/>
      <c r="K947" s="7"/>
      <c r="L947" s="13" t="str">
        <f>IF(C947="","",IF(COUNTIFS(Parametry!$C$54:$C$113,E947)=1,INDEX(Parametry!$D$54:$D$113,MATCH(E947,Parametry!$C$54:$C$113,0)),""))</f>
        <v/>
      </c>
      <c r="M947" s="7">
        <f t="shared" si="42"/>
        <v>0</v>
      </c>
      <c r="N947" s="13">
        <f>IF(AND(ISNUMBER(D947),ISNUMBER(Parametry!$G$6)),IF(AND(YEAR(D947)=Parametry!$G$6,M947&lt;=Parametry!$G$7),1,0),0)</f>
        <v>0</v>
      </c>
      <c r="O947" s="13">
        <f>IF(C947="",IF(COUNTA(D947:J947)&gt;0,1,0),IF(OR(COUNTIFS($C$9:$C$1008,C947)&lt;&gt;1,NOT(ISNUMBER(D947)),NOT(ISNUMBER(I947)),L947="",AND(F947&lt;&gt;"",COUNTIFS(Umowy!$C$9:$C$108,F947,Umowy!$D$9:$D$108,L947)&lt;&gt;1)),1,0))</f>
        <v>0</v>
      </c>
      <c r="P947" s="7" t="str">
        <f t="shared" si="43"/>
        <v/>
      </c>
      <c r="Q947" s="7" t="str">
        <f t="shared" si="44"/>
        <v/>
      </c>
    </row>
    <row r="948" spans="1:17" ht="24" customHeight="1">
      <c r="A948" s="7"/>
      <c r="B948" s="7"/>
      <c r="C948" s="3"/>
      <c r="D948" s="2"/>
      <c r="E948" s="3"/>
      <c r="F948" s="3"/>
      <c r="G948" s="3"/>
      <c r="H948" s="3"/>
      <c r="I948" s="6"/>
      <c r="J948" s="3"/>
      <c r="K948" s="7"/>
      <c r="L948" s="13" t="str">
        <f>IF(C948="","",IF(COUNTIFS(Parametry!$C$54:$C$113,E948)=1,INDEX(Parametry!$D$54:$D$113,MATCH(E948,Parametry!$C$54:$C$113,0)),""))</f>
        <v/>
      </c>
      <c r="M948" s="7">
        <f t="shared" si="42"/>
        <v>0</v>
      </c>
      <c r="N948" s="13">
        <f>IF(AND(ISNUMBER(D948),ISNUMBER(Parametry!$G$6)),IF(AND(YEAR(D948)=Parametry!$G$6,M948&lt;=Parametry!$G$7),1,0),0)</f>
        <v>0</v>
      </c>
      <c r="O948" s="13">
        <f>IF(C948="",IF(COUNTA(D948:J948)&gt;0,1,0),IF(OR(COUNTIFS($C$9:$C$1008,C948)&lt;&gt;1,NOT(ISNUMBER(D948)),NOT(ISNUMBER(I948)),L948="",AND(F948&lt;&gt;"",COUNTIFS(Umowy!$C$9:$C$108,F948,Umowy!$D$9:$D$108,L948)&lt;&gt;1)),1,0))</f>
        <v>0</v>
      </c>
      <c r="P948" s="7" t="str">
        <f t="shared" si="43"/>
        <v/>
      </c>
      <c r="Q948" s="7" t="str">
        <f t="shared" si="44"/>
        <v/>
      </c>
    </row>
    <row r="949" spans="1:17" ht="24" customHeight="1">
      <c r="A949" s="7"/>
      <c r="B949" s="7"/>
      <c r="C949" s="3"/>
      <c r="D949" s="2"/>
      <c r="E949" s="3"/>
      <c r="F949" s="3"/>
      <c r="G949" s="3"/>
      <c r="H949" s="3"/>
      <c r="I949" s="6"/>
      <c r="J949" s="3"/>
      <c r="K949" s="7"/>
      <c r="L949" s="13" t="str">
        <f>IF(C949="","",IF(COUNTIFS(Parametry!$C$54:$C$113,E949)=1,INDEX(Parametry!$D$54:$D$113,MATCH(E949,Parametry!$C$54:$C$113,0)),""))</f>
        <v/>
      </c>
      <c r="M949" s="7">
        <f t="shared" si="42"/>
        <v>0</v>
      </c>
      <c r="N949" s="13">
        <f>IF(AND(ISNUMBER(D949),ISNUMBER(Parametry!$G$6)),IF(AND(YEAR(D949)=Parametry!$G$6,M949&lt;=Parametry!$G$7),1,0),0)</f>
        <v>0</v>
      </c>
      <c r="O949" s="13">
        <f>IF(C949="",IF(COUNTA(D949:J949)&gt;0,1,0),IF(OR(COUNTIFS($C$9:$C$1008,C949)&lt;&gt;1,NOT(ISNUMBER(D949)),NOT(ISNUMBER(I949)),L949="",AND(F949&lt;&gt;"",COUNTIFS(Umowy!$C$9:$C$108,F949,Umowy!$D$9:$D$108,L949)&lt;&gt;1)),1,0))</f>
        <v>0</v>
      </c>
      <c r="P949" s="7" t="str">
        <f t="shared" si="43"/>
        <v/>
      </c>
      <c r="Q949" s="7" t="str">
        <f t="shared" si="44"/>
        <v/>
      </c>
    </row>
    <row r="950" spans="1:17" ht="24" customHeight="1">
      <c r="A950" s="7"/>
      <c r="B950" s="7"/>
      <c r="C950" s="3"/>
      <c r="D950" s="2"/>
      <c r="E950" s="3"/>
      <c r="F950" s="3"/>
      <c r="G950" s="3"/>
      <c r="H950" s="3"/>
      <c r="I950" s="6"/>
      <c r="J950" s="3"/>
      <c r="K950" s="7"/>
      <c r="L950" s="13" t="str">
        <f>IF(C950="","",IF(COUNTIFS(Parametry!$C$54:$C$113,E950)=1,INDEX(Parametry!$D$54:$D$113,MATCH(E950,Parametry!$C$54:$C$113,0)),""))</f>
        <v/>
      </c>
      <c r="M950" s="7">
        <f t="shared" si="42"/>
        <v>0</v>
      </c>
      <c r="N950" s="13">
        <f>IF(AND(ISNUMBER(D950),ISNUMBER(Parametry!$G$6)),IF(AND(YEAR(D950)=Parametry!$G$6,M950&lt;=Parametry!$G$7),1,0),0)</f>
        <v>0</v>
      </c>
      <c r="O950" s="13">
        <f>IF(C950="",IF(COUNTA(D950:J950)&gt;0,1,0),IF(OR(COUNTIFS($C$9:$C$1008,C950)&lt;&gt;1,NOT(ISNUMBER(D950)),NOT(ISNUMBER(I950)),L950="",AND(F950&lt;&gt;"",COUNTIFS(Umowy!$C$9:$C$108,F950,Umowy!$D$9:$D$108,L950)&lt;&gt;1)),1,0))</f>
        <v>0</v>
      </c>
      <c r="P950" s="7" t="str">
        <f t="shared" si="43"/>
        <v/>
      </c>
      <c r="Q950" s="7" t="str">
        <f t="shared" si="44"/>
        <v/>
      </c>
    </row>
    <row r="951" spans="1:17" ht="24" customHeight="1">
      <c r="A951" s="7"/>
      <c r="B951" s="7"/>
      <c r="C951" s="3"/>
      <c r="D951" s="2"/>
      <c r="E951" s="3"/>
      <c r="F951" s="3"/>
      <c r="G951" s="3"/>
      <c r="H951" s="3"/>
      <c r="I951" s="6"/>
      <c r="J951" s="3"/>
      <c r="K951" s="7"/>
      <c r="L951" s="13" t="str">
        <f>IF(C951="","",IF(COUNTIFS(Parametry!$C$54:$C$113,E951)=1,INDEX(Parametry!$D$54:$D$113,MATCH(E951,Parametry!$C$54:$C$113,0)),""))</f>
        <v/>
      </c>
      <c r="M951" s="7">
        <f t="shared" si="42"/>
        <v>0</v>
      </c>
      <c r="N951" s="13">
        <f>IF(AND(ISNUMBER(D951),ISNUMBER(Parametry!$G$6)),IF(AND(YEAR(D951)=Parametry!$G$6,M951&lt;=Parametry!$G$7),1,0),0)</f>
        <v>0</v>
      </c>
      <c r="O951" s="13">
        <f>IF(C951="",IF(COUNTA(D951:J951)&gt;0,1,0),IF(OR(COUNTIFS($C$9:$C$1008,C951)&lt;&gt;1,NOT(ISNUMBER(D951)),NOT(ISNUMBER(I951)),L951="",AND(F951&lt;&gt;"",COUNTIFS(Umowy!$C$9:$C$108,F951,Umowy!$D$9:$D$108,L951)&lt;&gt;1)),1,0))</f>
        <v>0</v>
      </c>
      <c r="P951" s="7" t="str">
        <f t="shared" si="43"/>
        <v/>
      </c>
      <c r="Q951" s="7" t="str">
        <f t="shared" si="44"/>
        <v/>
      </c>
    </row>
    <row r="952" spans="1:17" ht="24" customHeight="1">
      <c r="A952" s="7"/>
      <c r="B952" s="7"/>
      <c r="C952" s="3"/>
      <c r="D952" s="2"/>
      <c r="E952" s="3"/>
      <c r="F952" s="3"/>
      <c r="G952" s="3"/>
      <c r="H952" s="3"/>
      <c r="I952" s="6"/>
      <c r="J952" s="3"/>
      <c r="K952" s="7"/>
      <c r="L952" s="13" t="str">
        <f>IF(C952="","",IF(COUNTIFS(Parametry!$C$54:$C$113,E952)=1,INDEX(Parametry!$D$54:$D$113,MATCH(E952,Parametry!$C$54:$C$113,0)),""))</f>
        <v/>
      </c>
      <c r="M952" s="7">
        <f t="shared" si="42"/>
        <v>0</v>
      </c>
      <c r="N952" s="13">
        <f>IF(AND(ISNUMBER(D952),ISNUMBER(Parametry!$G$6)),IF(AND(YEAR(D952)=Parametry!$G$6,M952&lt;=Parametry!$G$7),1,0),0)</f>
        <v>0</v>
      </c>
      <c r="O952" s="13">
        <f>IF(C952="",IF(COUNTA(D952:J952)&gt;0,1,0),IF(OR(COUNTIFS($C$9:$C$1008,C952)&lt;&gt;1,NOT(ISNUMBER(D952)),NOT(ISNUMBER(I952)),L952="",AND(F952&lt;&gt;"",COUNTIFS(Umowy!$C$9:$C$108,F952,Umowy!$D$9:$D$108,L952)&lt;&gt;1)),1,0))</f>
        <v>0</v>
      </c>
      <c r="P952" s="7" t="str">
        <f t="shared" si="43"/>
        <v/>
      </c>
      <c r="Q952" s="7" t="str">
        <f t="shared" si="44"/>
        <v/>
      </c>
    </row>
    <row r="953" spans="1:17" ht="24" customHeight="1">
      <c r="A953" s="7"/>
      <c r="B953" s="7"/>
      <c r="C953" s="3"/>
      <c r="D953" s="2"/>
      <c r="E953" s="3"/>
      <c r="F953" s="3"/>
      <c r="G953" s="3"/>
      <c r="H953" s="3"/>
      <c r="I953" s="6"/>
      <c r="J953" s="3"/>
      <c r="K953" s="7"/>
      <c r="L953" s="13" t="str">
        <f>IF(C953="","",IF(COUNTIFS(Parametry!$C$54:$C$113,E953)=1,INDEX(Parametry!$D$54:$D$113,MATCH(E953,Parametry!$C$54:$C$113,0)),""))</f>
        <v/>
      </c>
      <c r="M953" s="7">
        <f t="shared" si="42"/>
        <v>0</v>
      </c>
      <c r="N953" s="13">
        <f>IF(AND(ISNUMBER(D953),ISNUMBER(Parametry!$G$6)),IF(AND(YEAR(D953)=Parametry!$G$6,M953&lt;=Parametry!$G$7),1,0),0)</f>
        <v>0</v>
      </c>
      <c r="O953" s="13">
        <f>IF(C953="",IF(COUNTA(D953:J953)&gt;0,1,0),IF(OR(COUNTIFS($C$9:$C$1008,C953)&lt;&gt;1,NOT(ISNUMBER(D953)),NOT(ISNUMBER(I953)),L953="",AND(F953&lt;&gt;"",COUNTIFS(Umowy!$C$9:$C$108,F953,Umowy!$D$9:$D$108,L953)&lt;&gt;1)),1,0))</f>
        <v>0</v>
      </c>
      <c r="P953" s="7" t="str">
        <f t="shared" si="43"/>
        <v/>
      </c>
      <c r="Q953" s="7" t="str">
        <f t="shared" si="44"/>
        <v/>
      </c>
    </row>
    <row r="954" spans="1:17" ht="24" customHeight="1">
      <c r="A954" s="7"/>
      <c r="B954" s="7"/>
      <c r="C954" s="3"/>
      <c r="D954" s="2"/>
      <c r="E954" s="3"/>
      <c r="F954" s="3"/>
      <c r="G954" s="3"/>
      <c r="H954" s="3"/>
      <c r="I954" s="6"/>
      <c r="J954" s="3"/>
      <c r="K954" s="7"/>
      <c r="L954" s="13" t="str">
        <f>IF(C954="","",IF(COUNTIFS(Parametry!$C$54:$C$113,E954)=1,INDEX(Parametry!$D$54:$D$113,MATCH(E954,Parametry!$C$54:$C$113,0)),""))</f>
        <v/>
      </c>
      <c r="M954" s="7">
        <f t="shared" si="42"/>
        <v>0</v>
      </c>
      <c r="N954" s="13">
        <f>IF(AND(ISNUMBER(D954),ISNUMBER(Parametry!$G$6)),IF(AND(YEAR(D954)=Parametry!$G$6,M954&lt;=Parametry!$G$7),1,0),0)</f>
        <v>0</v>
      </c>
      <c r="O954" s="13">
        <f>IF(C954="",IF(COUNTA(D954:J954)&gt;0,1,0),IF(OR(COUNTIFS($C$9:$C$1008,C954)&lt;&gt;1,NOT(ISNUMBER(D954)),NOT(ISNUMBER(I954)),L954="",AND(F954&lt;&gt;"",COUNTIFS(Umowy!$C$9:$C$108,F954,Umowy!$D$9:$D$108,L954)&lt;&gt;1)),1,0))</f>
        <v>0</v>
      </c>
      <c r="P954" s="7" t="str">
        <f t="shared" si="43"/>
        <v/>
      </c>
      <c r="Q954" s="7" t="str">
        <f t="shared" si="44"/>
        <v/>
      </c>
    </row>
    <row r="955" spans="1:17" ht="24" customHeight="1">
      <c r="A955" s="7"/>
      <c r="B955" s="7"/>
      <c r="C955" s="3"/>
      <c r="D955" s="2"/>
      <c r="E955" s="3"/>
      <c r="F955" s="3"/>
      <c r="G955" s="3"/>
      <c r="H955" s="3"/>
      <c r="I955" s="6"/>
      <c r="J955" s="3"/>
      <c r="K955" s="7"/>
      <c r="L955" s="13" t="str">
        <f>IF(C955="","",IF(COUNTIFS(Parametry!$C$54:$C$113,E955)=1,INDEX(Parametry!$D$54:$D$113,MATCH(E955,Parametry!$C$54:$C$113,0)),""))</f>
        <v/>
      </c>
      <c r="M955" s="7">
        <f t="shared" si="42"/>
        <v>0</v>
      </c>
      <c r="N955" s="13">
        <f>IF(AND(ISNUMBER(D955),ISNUMBER(Parametry!$G$6)),IF(AND(YEAR(D955)=Parametry!$G$6,M955&lt;=Parametry!$G$7),1,0),0)</f>
        <v>0</v>
      </c>
      <c r="O955" s="13">
        <f>IF(C955="",IF(COUNTA(D955:J955)&gt;0,1,0),IF(OR(COUNTIFS($C$9:$C$1008,C955)&lt;&gt;1,NOT(ISNUMBER(D955)),NOT(ISNUMBER(I955)),L955="",AND(F955&lt;&gt;"",COUNTIFS(Umowy!$C$9:$C$108,F955,Umowy!$D$9:$D$108,L955)&lt;&gt;1)),1,0))</f>
        <v>0</v>
      </c>
      <c r="P955" s="7" t="str">
        <f t="shared" si="43"/>
        <v/>
      </c>
      <c r="Q955" s="7" t="str">
        <f t="shared" si="44"/>
        <v/>
      </c>
    </row>
    <row r="956" spans="1:17" ht="24" customHeight="1">
      <c r="A956" s="7"/>
      <c r="B956" s="7"/>
      <c r="C956" s="3"/>
      <c r="D956" s="2"/>
      <c r="E956" s="3"/>
      <c r="F956" s="3"/>
      <c r="G956" s="3"/>
      <c r="H956" s="3"/>
      <c r="I956" s="6"/>
      <c r="J956" s="3"/>
      <c r="K956" s="7"/>
      <c r="L956" s="13" t="str">
        <f>IF(C956="","",IF(COUNTIFS(Parametry!$C$54:$C$113,E956)=1,INDEX(Parametry!$D$54:$D$113,MATCH(E956,Parametry!$C$54:$C$113,0)),""))</f>
        <v/>
      </c>
      <c r="M956" s="7">
        <f t="shared" si="42"/>
        <v>0</v>
      </c>
      <c r="N956" s="13">
        <f>IF(AND(ISNUMBER(D956),ISNUMBER(Parametry!$G$6)),IF(AND(YEAR(D956)=Parametry!$G$6,M956&lt;=Parametry!$G$7),1,0),0)</f>
        <v>0</v>
      </c>
      <c r="O956" s="13">
        <f>IF(C956="",IF(COUNTA(D956:J956)&gt;0,1,0),IF(OR(COUNTIFS($C$9:$C$1008,C956)&lt;&gt;1,NOT(ISNUMBER(D956)),NOT(ISNUMBER(I956)),L956="",AND(F956&lt;&gt;"",COUNTIFS(Umowy!$C$9:$C$108,F956,Umowy!$D$9:$D$108,L956)&lt;&gt;1)),1,0))</f>
        <v>0</v>
      </c>
      <c r="P956" s="7" t="str">
        <f t="shared" si="43"/>
        <v/>
      </c>
      <c r="Q956" s="7" t="str">
        <f t="shared" si="44"/>
        <v/>
      </c>
    </row>
    <row r="957" spans="1:17" ht="24" customHeight="1">
      <c r="A957" s="7"/>
      <c r="B957" s="7"/>
      <c r="C957" s="3"/>
      <c r="D957" s="2"/>
      <c r="E957" s="3"/>
      <c r="F957" s="3"/>
      <c r="G957" s="3"/>
      <c r="H957" s="3"/>
      <c r="I957" s="6"/>
      <c r="J957" s="3"/>
      <c r="K957" s="7"/>
      <c r="L957" s="13" t="str">
        <f>IF(C957="","",IF(COUNTIFS(Parametry!$C$54:$C$113,E957)=1,INDEX(Parametry!$D$54:$D$113,MATCH(E957,Parametry!$C$54:$C$113,0)),""))</f>
        <v/>
      </c>
      <c r="M957" s="7">
        <f t="shared" si="42"/>
        <v>0</v>
      </c>
      <c r="N957" s="13">
        <f>IF(AND(ISNUMBER(D957),ISNUMBER(Parametry!$G$6)),IF(AND(YEAR(D957)=Parametry!$G$6,M957&lt;=Parametry!$G$7),1,0),0)</f>
        <v>0</v>
      </c>
      <c r="O957" s="13">
        <f>IF(C957="",IF(COUNTA(D957:J957)&gt;0,1,0),IF(OR(COUNTIFS($C$9:$C$1008,C957)&lt;&gt;1,NOT(ISNUMBER(D957)),NOT(ISNUMBER(I957)),L957="",AND(F957&lt;&gt;"",COUNTIFS(Umowy!$C$9:$C$108,F957,Umowy!$D$9:$D$108,L957)&lt;&gt;1)),1,0))</f>
        <v>0</v>
      </c>
      <c r="P957" s="7" t="str">
        <f t="shared" si="43"/>
        <v/>
      </c>
      <c r="Q957" s="7" t="str">
        <f t="shared" si="44"/>
        <v/>
      </c>
    </row>
    <row r="958" spans="1:17" ht="24" customHeight="1">
      <c r="A958" s="7"/>
      <c r="B958" s="7"/>
      <c r="C958" s="3"/>
      <c r="D958" s="2"/>
      <c r="E958" s="3"/>
      <c r="F958" s="3"/>
      <c r="G958" s="3"/>
      <c r="H958" s="3"/>
      <c r="I958" s="6"/>
      <c r="J958" s="3"/>
      <c r="K958" s="7"/>
      <c r="L958" s="13" t="str">
        <f>IF(C958="","",IF(COUNTIFS(Parametry!$C$54:$C$113,E958)=1,INDEX(Parametry!$D$54:$D$113,MATCH(E958,Parametry!$C$54:$C$113,0)),""))</f>
        <v/>
      </c>
      <c r="M958" s="7">
        <f t="shared" si="42"/>
        <v>0</v>
      </c>
      <c r="N958" s="13">
        <f>IF(AND(ISNUMBER(D958),ISNUMBER(Parametry!$G$6)),IF(AND(YEAR(D958)=Parametry!$G$6,M958&lt;=Parametry!$G$7),1,0),0)</f>
        <v>0</v>
      </c>
      <c r="O958" s="13">
        <f>IF(C958="",IF(COUNTA(D958:J958)&gt;0,1,0),IF(OR(COUNTIFS($C$9:$C$1008,C958)&lt;&gt;1,NOT(ISNUMBER(D958)),NOT(ISNUMBER(I958)),L958="",AND(F958&lt;&gt;"",COUNTIFS(Umowy!$C$9:$C$108,F958,Umowy!$D$9:$D$108,L958)&lt;&gt;1)),1,0))</f>
        <v>0</v>
      </c>
      <c r="P958" s="7" t="str">
        <f t="shared" si="43"/>
        <v/>
      </c>
      <c r="Q958" s="7" t="str">
        <f t="shared" si="44"/>
        <v/>
      </c>
    </row>
    <row r="959" spans="1:17" ht="24" customHeight="1">
      <c r="A959" s="7"/>
      <c r="B959" s="7"/>
      <c r="C959" s="3"/>
      <c r="D959" s="2"/>
      <c r="E959" s="3"/>
      <c r="F959" s="3"/>
      <c r="G959" s="3"/>
      <c r="H959" s="3"/>
      <c r="I959" s="6"/>
      <c r="J959" s="3"/>
      <c r="K959" s="7"/>
      <c r="L959" s="13" t="str">
        <f>IF(C959="","",IF(COUNTIFS(Parametry!$C$54:$C$113,E959)=1,INDEX(Parametry!$D$54:$D$113,MATCH(E959,Parametry!$C$54:$C$113,0)),""))</f>
        <v/>
      </c>
      <c r="M959" s="7">
        <f t="shared" si="42"/>
        <v>0</v>
      </c>
      <c r="N959" s="13">
        <f>IF(AND(ISNUMBER(D959),ISNUMBER(Parametry!$G$6)),IF(AND(YEAR(D959)=Parametry!$G$6,M959&lt;=Parametry!$G$7),1,0),0)</f>
        <v>0</v>
      </c>
      <c r="O959" s="13">
        <f>IF(C959="",IF(COUNTA(D959:J959)&gt;0,1,0),IF(OR(COUNTIFS($C$9:$C$1008,C959)&lt;&gt;1,NOT(ISNUMBER(D959)),NOT(ISNUMBER(I959)),L959="",AND(F959&lt;&gt;"",COUNTIFS(Umowy!$C$9:$C$108,F959,Umowy!$D$9:$D$108,L959)&lt;&gt;1)),1,0))</f>
        <v>0</v>
      </c>
      <c r="P959" s="7" t="str">
        <f t="shared" si="43"/>
        <v/>
      </c>
      <c r="Q959" s="7" t="str">
        <f t="shared" si="44"/>
        <v/>
      </c>
    </row>
    <row r="960" spans="1:17" ht="24" customHeight="1">
      <c r="A960" s="7"/>
      <c r="B960" s="7"/>
      <c r="C960" s="3"/>
      <c r="D960" s="2"/>
      <c r="E960" s="3"/>
      <c r="F960" s="3"/>
      <c r="G960" s="3"/>
      <c r="H960" s="3"/>
      <c r="I960" s="6"/>
      <c r="J960" s="3"/>
      <c r="K960" s="7"/>
      <c r="L960" s="13" t="str">
        <f>IF(C960="","",IF(COUNTIFS(Parametry!$C$54:$C$113,E960)=1,INDEX(Parametry!$D$54:$D$113,MATCH(E960,Parametry!$C$54:$C$113,0)),""))</f>
        <v/>
      </c>
      <c r="M960" s="7">
        <f t="shared" si="42"/>
        <v>0</v>
      </c>
      <c r="N960" s="13">
        <f>IF(AND(ISNUMBER(D960),ISNUMBER(Parametry!$G$6)),IF(AND(YEAR(D960)=Parametry!$G$6,M960&lt;=Parametry!$G$7),1,0),0)</f>
        <v>0</v>
      </c>
      <c r="O960" s="13">
        <f>IF(C960="",IF(COUNTA(D960:J960)&gt;0,1,0),IF(OR(COUNTIFS($C$9:$C$1008,C960)&lt;&gt;1,NOT(ISNUMBER(D960)),NOT(ISNUMBER(I960)),L960="",AND(F960&lt;&gt;"",COUNTIFS(Umowy!$C$9:$C$108,F960,Umowy!$D$9:$D$108,L960)&lt;&gt;1)),1,0))</f>
        <v>0</v>
      </c>
      <c r="P960" s="7" t="str">
        <f t="shared" si="43"/>
        <v/>
      </c>
      <c r="Q960" s="7" t="str">
        <f t="shared" si="44"/>
        <v/>
      </c>
    </row>
    <row r="961" spans="1:17" ht="24" customHeight="1">
      <c r="A961" s="7"/>
      <c r="B961" s="7"/>
      <c r="C961" s="3"/>
      <c r="D961" s="2"/>
      <c r="E961" s="3"/>
      <c r="F961" s="3"/>
      <c r="G961" s="3"/>
      <c r="H961" s="3"/>
      <c r="I961" s="6"/>
      <c r="J961" s="3"/>
      <c r="K961" s="7"/>
      <c r="L961" s="13" t="str">
        <f>IF(C961="","",IF(COUNTIFS(Parametry!$C$54:$C$113,E961)=1,INDEX(Parametry!$D$54:$D$113,MATCH(E961,Parametry!$C$54:$C$113,0)),""))</f>
        <v/>
      </c>
      <c r="M961" s="7">
        <f t="shared" si="42"/>
        <v>0</v>
      </c>
      <c r="N961" s="13">
        <f>IF(AND(ISNUMBER(D961),ISNUMBER(Parametry!$G$6)),IF(AND(YEAR(D961)=Parametry!$G$6,M961&lt;=Parametry!$G$7),1,0),0)</f>
        <v>0</v>
      </c>
      <c r="O961" s="13">
        <f>IF(C961="",IF(COUNTA(D961:J961)&gt;0,1,0),IF(OR(COUNTIFS($C$9:$C$1008,C961)&lt;&gt;1,NOT(ISNUMBER(D961)),NOT(ISNUMBER(I961)),L961="",AND(F961&lt;&gt;"",COUNTIFS(Umowy!$C$9:$C$108,F961,Umowy!$D$9:$D$108,L961)&lt;&gt;1)),1,0))</f>
        <v>0</v>
      </c>
      <c r="P961" s="7" t="str">
        <f t="shared" si="43"/>
        <v/>
      </c>
      <c r="Q961" s="7" t="str">
        <f t="shared" si="44"/>
        <v/>
      </c>
    </row>
    <row r="962" spans="1:17" ht="24" customHeight="1">
      <c r="A962" s="7"/>
      <c r="B962" s="7"/>
      <c r="C962" s="3"/>
      <c r="D962" s="2"/>
      <c r="E962" s="3"/>
      <c r="F962" s="3"/>
      <c r="G962" s="3"/>
      <c r="H962" s="3"/>
      <c r="I962" s="6"/>
      <c r="J962" s="3"/>
      <c r="K962" s="7"/>
      <c r="L962" s="13" t="str">
        <f>IF(C962="","",IF(COUNTIFS(Parametry!$C$54:$C$113,E962)=1,INDEX(Parametry!$D$54:$D$113,MATCH(E962,Parametry!$C$54:$C$113,0)),""))</f>
        <v/>
      </c>
      <c r="M962" s="7">
        <f t="shared" si="42"/>
        <v>0</v>
      </c>
      <c r="N962" s="13">
        <f>IF(AND(ISNUMBER(D962),ISNUMBER(Parametry!$G$6)),IF(AND(YEAR(D962)=Parametry!$G$6,M962&lt;=Parametry!$G$7),1,0),0)</f>
        <v>0</v>
      </c>
      <c r="O962" s="13">
        <f>IF(C962="",IF(COUNTA(D962:J962)&gt;0,1,0),IF(OR(COUNTIFS($C$9:$C$1008,C962)&lt;&gt;1,NOT(ISNUMBER(D962)),NOT(ISNUMBER(I962)),L962="",AND(F962&lt;&gt;"",COUNTIFS(Umowy!$C$9:$C$108,F962,Umowy!$D$9:$D$108,L962)&lt;&gt;1)),1,0))</f>
        <v>0</v>
      </c>
      <c r="P962" s="7" t="str">
        <f t="shared" si="43"/>
        <v/>
      </c>
      <c r="Q962" s="7" t="str">
        <f t="shared" si="44"/>
        <v/>
      </c>
    </row>
    <row r="963" spans="1:17" ht="24" customHeight="1">
      <c r="A963" s="7"/>
      <c r="B963" s="7"/>
      <c r="C963" s="3"/>
      <c r="D963" s="2"/>
      <c r="E963" s="3"/>
      <c r="F963" s="3"/>
      <c r="G963" s="3"/>
      <c r="H963" s="3"/>
      <c r="I963" s="6"/>
      <c r="J963" s="3"/>
      <c r="K963" s="7"/>
      <c r="L963" s="13" t="str">
        <f>IF(C963="","",IF(COUNTIFS(Parametry!$C$54:$C$113,E963)=1,INDEX(Parametry!$D$54:$D$113,MATCH(E963,Parametry!$C$54:$C$113,0)),""))</f>
        <v/>
      </c>
      <c r="M963" s="7">
        <f t="shared" si="42"/>
        <v>0</v>
      </c>
      <c r="N963" s="13">
        <f>IF(AND(ISNUMBER(D963),ISNUMBER(Parametry!$G$6)),IF(AND(YEAR(D963)=Parametry!$G$6,M963&lt;=Parametry!$G$7),1,0),0)</f>
        <v>0</v>
      </c>
      <c r="O963" s="13">
        <f>IF(C963="",IF(COUNTA(D963:J963)&gt;0,1,0),IF(OR(COUNTIFS($C$9:$C$1008,C963)&lt;&gt;1,NOT(ISNUMBER(D963)),NOT(ISNUMBER(I963)),L963="",AND(F963&lt;&gt;"",COUNTIFS(Umowy!$C$9:$C$108,F963,Umowy!$D$9:$D$108,L963)&lt;&gt;1)),1,0))</f>
        <v>0</v>
      </c>
      <c r="P963" s="7" t="str">
        <f t="shared" si="43"/>
        <v/>
      </c>
      <c r="Q963" s="7" t="str">
        <f t="shared" si="44"/>
        <v/>
      </c>
    </row>
    <row r="964" spans="1:17" ht="24" customHeight="1">
      <c r="A964" s="7"/>
      <c r="B964" s="7"/>
      <c r="C964" s="3"/>
      <c r="D964" s="2"/>
      <c r="E964" s="3"/>
      <c r="F964" s="3"/>
      <c r="G964" s="3"/>
      <c r="H964" s="3"/>
      <c r="I964" s="6"/>
      <c r="J964" s="3"/>
      <c r="K964" s="7"/>
      <c r="L964" s="13" t="str">
        <f>IF(C964="","",IF(COUNTIFS(Parametry!$C$54:$C$113,E964)=1,INDEX(Parametry!$D$54:$D$113,MATCH(E964,Parametry!$C$54:$C$113,0)),""))</f>
        <v/>
      </c>
      <c r="M964" s="7">
        <f t="shared" si="42"/>
        <v>0</v>
      </c>
      <c r="N964" s="13">
        <f>IF(AND(ISNUMBER(D964),ISNUMBER(Parametry!$G$6)),IF(AND(YEAR(D964)=Parametry!$G$6,M964&lt;=Parametry!$G$7),1,0),0)</f>
        <v>0</v>
      </c>
      <c r="O964" s="13">
        <f>IF(C964="",IF(COUNTA(D964:J964)&gt;0,1,0),IF(OR(COUNTIFS($C$9:$C$1008,C964)&lt;&gt;1,NOT(ISNUMBER(D964)),NOT(ISNUMBER(I964)),L964="",AND(F964&lt;&gt;"",COUNTIFS(Umowy!$C$9:$C$108,F964,Umowy!$D$9:$D$108,L964)&lt;&gt;1)),1,0))</f>
        <v>0</v>
      </c>
      <c r="P964" s="7" t="str">
        <f t="shared" si="43"/>
        <v/>
      </c>
      <c r="Q964" s="7" t="str">
        <f t="shared" si="44"/>
        <v/>
      </c>
    </row>
    <row r="965" spans="1:17" ht="24" customHeight="1">
      <c r="A965" s="7"/>
      <c r="B965" s="7"/>
      <c r="C965" s="3"/>
      <c r="D965" s="2"/>
      <c r="E965" s="3"/>
      <c r="F965" s="3"/>
      <c r="G965" s="3"/>
      <c r="H965" s="3"/>
      <c r="I965" s="6"/>
      <c r="J965" s="3"/>
      <c r="K965" s="7"/>
      <c r="L965" s="13" t="str">
        <f>IF(C965="","",IF(COUNTIFS(Parametry!$C$54:$C$113,E965)=1,INDEX(Parametry!$D$54:$D$113,MATCH(E965,Parametry!$C$54:$C$113,0)),""))</f>
        <v/>
      </c>
      <c r="M965" s="7">
        <f t="shared" si="42"/>
        <v>0</v>
      </c>
      <c r="N965" s="13">
        <f>IF(AND(ISNUMBER(D965),ISNUMBER(Parametry!$G$6)),IF(AND(YEAR(D965)=Parametry!$G$6,M965&lt;=Parametry!$G$7),1,0),0)</f>
        <v>0</v>
      </c>
      <c r="O965" s="13">
        <f>IF(C965="",IF(COUNTA(D965:J965)&gt;0,1,0),IF(OR(COUNTIFS($C$9:$C$1008,C965)&lt;&gt;1,NOT(ISNUMBER(D965)),NOT(ISNUMBER(I965)),L965="",AND(F965&lt;&gt;"",COUNTIFS(Umowy!$C$9:$C$108,F965,Umowy!$D$9:$D$108,L965)&lt;&gt;1)),1,0))</f>
        <v>0</v>
      </c>
      <c r="P965" s="7" t="str">
        <f t="shared" si="43"/>
        <v/>
      </c>
      <c r="Q965" s="7" t="str">
        <f t="shared" si="44"/>
        <v/>
      </c>
    </row>
    <row r="966" spans="1:17" ht="24" customHeight="1">
      <c r="A966" s="7"/>
      <c r="B966" s="7"/>
      <c r="C966" s="3"/>
      <c r="D966" s="2"/>
      <c r="E966" s="3"/>
      <c r="F966" s="3"/>
      <c r="G966" s="3"/>
      <c r="H966" s="3"/>
      <c r="I966" s="6"/>
      <c r="J966" s="3"/>
      <c r="K966" s="7"/>
      <c r="L966" s="13" t="str">
        <f>IF(C966="","",IF(COUNTIFS(Parametry!$C$54:$C$113,E966)=1,INDEX(Parametry!$D$54:$D$113,MATCH(E966,Parametry!$C$54:$C$113,0)),""))</f>
        <v/>
      </c>
      <c r="M966" s="7">
        <f t="shared" si="42"/>
        <v>0</v>
      </c>
      <c r="N966" s="13">
        <f>IF(AND(ISNUMBER(D966),ISNUMBER(Parametry!$G$6)),IF(AND(YEAR(D966)=Parametry!$G$6,M966&lt;=Parametry!$G$7),1,0),0)</f>
        <v>0</v>
      </c>
      <c r="O966" s="13">
        <f>IF(C966="",IF(COUNTA(D966:J966)&gt;0,1,0),IF(OR(COUNTIFS($C$9:$C$1008,C966)&lt;&gt;1,NOT(ISNUMBER(D966)),NOT(ISNUMBER(I966)),L966="",AND(F966&lt;&gt;"",COUNTIFS(Umowy!$C$9:$C$108,F966,Umowy!$D$9:$D$108,L966)&lt;&gt;1)),1,0))</f>
        <v>0</v>
      </c>
      <c r="P966" s="7" t="str">
        <f t="shared" si="43"/>
        <v/>
      </c>
      <c r="Q966" s="7" t="str">
        <f t="shared" si="44"/>
        <v/>
      </c>
    </row>
    <row r="967" spans="1:17" ht="24" customHeight="1">
      <c r="A967" s="7"/>
      <c r="B967" s="7"/>
      <c r="C967" s="3"/>
      <c r="D967" s="2"/>
      <c r="E967" s="3"/>
      <c r="F967" s="3"/>
      <c r="G967" s="3"/>
      <c r="H967" s="3"/>
      <c r="I967" s="6"/>
      <c r="J967" s="3"/>
      <c r="K967" s="7"/>
      <c r="L967" s="13" t="str">
        <f>IF(C967="","",IF(COUNTIFS(Parametry!$C$54:$C$113,E967)=1,INDEX(Parametry!$D$54:$D$113,MATCH(E967,Parametry!$C$54:$C$113,0)),""))</f>
        <v/>
      </c>
      <c r="M967" s="7">
        <f t="shared" si="42"/>
        <v>0</v>
      </c>
      <c r="N967" s="13">
        <f>IF(AND(ISNUMBER(D967),ISNUMBER(Parametry!$G$6)),IF(AND(YEAR(D967)=Parametry!$G$6,M967&lt;=Parametry!$G$7),1,0),0)</f>
        <v>0</v>
      </c>
      <c r="O967" s="13">
        <f>IF(C967="",IF(COUNTA(D967:J967)&gt;0,1,0),IF(OR(COUNTIFS($C$9:$C$1008,C967)&lt;&gt;1,NOT(ISNUMBER(D967)),NOT(ISNUMBER(I967)),L967="",AND(F967&lt;&gt;"",COUNTIFS(Umowy!$C$9:$C$108,F967,Umowy!$D$9:$D$108,L967)&lt;&gt;1)),1,0))</f>
        <v>0</v>
      </c>
      <c r="P967" s="7" t="str">
        <f t="shared" si="43"/>
        <v/>
      </c>
      <c r="Q967" s="7" t="str">
        <f t="shared" si="44"/>
        <v/>
      </c>
    </row>
    <row r="968" spans="1:17" ht="24" customHeight="1">
      <c r="A968" s="7"/>
      <c r="B968" s="7"/>
      <c r="C968" s="3"/>
      <c r="D968" s="2"/>
      <c r="E968" s="3"/>
      <c r="F968" s="3"/>
      <c r="G968" s="3"/>
      <c r="H968" s="3"/>
      <c r="I968" s="6"/>
      <c r="J968" s="3"/>
      <c r="K968" s="7"/>
      <c r="L968" s="13" t="str">
        <f>IF(C968="","",IF(COUNTIFS(Parametry!$C$54:$C$113,E968)=1,INDEX(Parametry!$D$54:$D$113,MATCH(E968,Parametry!$C$54:$C$113,0)),""))</f>
        <v/>
      </c>
      <c r="M968" s="7">
        <f t="shared" si="42"/>
        <v>0</v>
      </c>
      <c r="N968" s="13">
        <f>IF(AND(ISNUMBER(D968),ISNUMBER(Parametry!$G$6)),IF(AND(YEAR(D968)=Parametry!$G$6,M968&lt;=Parametry!$G$7),1,0),0)</f>
        <v>0</v>
      </c>
      <c r="O968" s="13">
        <f>IF(C968="",IF(COUNTA(D968:J968)&gt;0,1,0),IF(OR(COUNTIFS($C$9:$C$1008,C968)&lt;&gt;1,NOT(ISNUMBER(D968)),NOT(ISNUMBER(I968)),L968="",AND(F968&lt;&gt;"",COUNTIFS(Umowy!$C$9:$C$108,F968,Umowy!$D$9:$D$108,L968)&lt;&gt;1)),1,0))</f>
        <v>0</v>
      </c>
      <c r="P968" s="7" t="str">
        <f t="shared" si="43"/>
        <v/>
      </c>
      <c r="Q968" s="7" t="str">
        <f t="shared" si="44"/>
        <v/>
      </c>
    </row>
    <row r="969" spans="1:17" ht="24" customHeight="1">
      <c r="A969" s="7"/>
      <c r="B969" s="7"/>
      <c r="C969" s="3"/>
      <c r="D969" s="2"/>
      <c r="E969" s="3"/>
      <c r="F969" s="3"/>
      <c r="G969" s="3"/>
      <c r="H969" s="3"/>
      <c r="I969" s="6"/>
      <c r="J969" s="3"/>
      <c r="K969" s="7"/>
      <c r="L969" s="13" t="str">
        <f>IF(C969="","",IF(COUNTIFS(Parametry!$C$54:$C$113,E969)=1,INDEX(Parametry!$D$54:$D$113,MATCH(E969,Parametry!$C$54:$C$113,0)),""))</f>
        <v/>
      </c>
      <c r="M969" s="7">
        <f t="shared" ref="M969:M1008" si="45">IF(ISNUMBER(D969),MONTH(D969),0)</f>
        <v>0</v>
      </c>
      <c r="N969" s="13">
        <f>IF(AND(ISNUMBER(D969),ISNUMBER(Parametry!$G$6)),IF(AND(YEAR(D969)=Parametry!$G$6,M969&lt;=Parametry!$G$7),1,0),0)</f>
        <v>0</v>
      </c>
      <c r="O969" s="13">
        <f>IF(C969="",IF(COUNTA(D969:J969)&gt;0,1,0),IF(OR(COUNTIFS($C$9:$C$1008,C969)&lt;&gt;1,NOT(ISNUMBER(D969)),NOT(ISNUMBER(I969)),L969="",AND(F969&lt;&gt;"",COUNTIFS(Umowy!$C$9:$C$108,F969,Umowy!$D$9:$D$108,L969)&lt;&gt;1)),1,0))</f>
        <v>0</v>
      </c>
      <c r="P969" s="7" t="str">
        <f t="shared" ref="P969:P1008" si="46">IF(O969=0,"",IF(C969="","Missing RowID",IF(COUNTIFS($C$9:$C$1008,C969)&lt;&gt;1,"Duplicate RowID",IF(L969="","Unmapped ERPKey",IF(NOT(ISNUMBER(D969)),"Invalid Date",IF(NOT(ISNUMBER(I969)),"Invalid AmountPLN","CommitmentID / BudgetID"))))))</f>
        <v/>
      </c>
      <c r="Q969" s="7" t="str">
        <f t="shared" ref="Q969:Q1008" si="47">IF(C969="","",IF(N969=1,"","Nie ujęto w wykonaniu okresu"))</f>
        <v/>
      </c>
    </row>
    <row r="970" spans="1:17" ht="24" customHeight="1">
      <c r="A970" s="7"/>
      <c r="B970" s="7"/>
      <c r="C970" s="3"/>
      <c r="D970" s="2"/>
      <c r="E970" s="3"/>
      <c r="F970" s="3"/>
      <c r="G970" s="3"/>
      <c r="H970" s="3"/>
      <c r="I970" s="6"/>
      <c r="J970" s="3"/>
      <c r="K970" s="7"/>
      <c r="L970" s="13" t="str">
        <f>IF(C970="","",IF(COUNTIFS(Parametry!$C$54:$C$113,E970)=1,INDEX(Parametry!$D$54:$D$113,MATCH(E970,Parametry!$C$54:$C$113,0)),""))</f>
        <v/>
      </c>
      <c r="M970" s="7">
        <f t="shared" si="45"/>
        <v>0</v>
      </c>
      <c r="N970" s="13">
        <f>IF(AND(ISNUMBER(D970),ISNUMBER(Parametry!$G$6)),IF(AND(YEAR(D970)=Parametry!$G$6,M970&lt;=Parametry!$G$7),1,0),0)</f>
        <v>0</v>
      </c>
      <c r="O970" s="13">
        <f>IF(C970="",IF(COUNTA(D970:J970)&gt;0,1,0),IF(OR(COUNTIFS($C$9:$C$1008,C970)&lt;&gt;1,NOT(ISNUMBER(D970)),NOT(ISNUMBER(I970)),L970="",AND(F970&lt;&gt;"",COUNTIFS(Umowy!$C$9:$C$108,F970,Umowy!$D$9:$D$108,L970)&lt;&gt;1)),1,0))</f>
        <v>0</v>
      </c>
      <c r="P970" s="7" t="str">
        <f t="shared" si="46"/>
        <v/>
      </c>
      <c r="Q970" s="7" t="str">
        <f t="shared" si="47"/>
        <v/>
      </c>
    </row>
    <row r="971" spans="1:17" ht="24" customHeight="1">
      <c r="A971" s="7"/>
      <c r="B971" s="7"/>
      <c r="C971" s="3"/>
      <c r="D971" s="2"/>
      <c r="E971" s="3"/>
      <c r="F971" s="3"/>
      <c r="G971" s="3"/>
      <c r="H971" s="3"/>
      <c r="I971" s="6"/>
      <c r="J971" s="3"/>
      <c r="K971" s="7"/>
      <c r="L971" s="13" t="str">
        <f>IF(C971="","",IF(COUNTIFS(Parametry!$C$54:$C$113,E971)=1,INDEX(Parametry!$D$54:$D$113,MATCH(E971,Parametry!$C$54:$C$113,0)),""))</f>
        <v/>
      </c>
      <c r="M971" s="7">
        <f t="shared" si="45"/>
        <v>0</v>
      </c>
      <c r="N971" s="13">
        <f>IF(AND(ISNUMBER(D971),ISNUMBER(Parametry!$G$6)),IF(AND(YEAR(D971)=Parametry!$G$6,M971&lt;=Parametry!$G$7),1,0),0)</f>
        <v>0</v>
      </c>
      <c r="O971" s="13">
        <f>IF(C971="",IF(COUNTA(D971:J971)&gt;0,1,0),IF(OR(COUNTIFS($C$9:$C$1008,C971)&lt;&gt;1,NOT(ISNUMBER(D971)),NOT(ISNUMBER(I971)),L971="",AND(F971&lt;&gt;"",COUNTIFS(Umowy!$C$9:$C$108,F971,Umowy!$D$9:$D$108,L971)&lt;&gt;1)),1,0))</f>
        <v>0</v>
      </c>
      <c r="P971" s="7" t="str">
        <f t="shared" si="46"/>
        <v/>
      </c>
      <c r="Q971" s="7" t="str">
        <f t="shared" si="47"/>
        <v/>
      </c>
    </row>
    <row r="972" spans="1:17" ht="24" customHeight="1">
      <c r="A972" s="7"/>
      <c r="B972" s="7"/>
      <c r="C972" s="3"/>
      <c r="D972" s="2"/>
      <c r="E972" s="3"/>
      <c r="F972" s="3"/>
      <c r="G972" s="3"/>
      <c r="H972" s="3"/>
      <c r="I972" s="6"/>
      <c r="J972" s="3"/>
      <c r="K972" s="7"/>
      <c r="L972" s="13" t="str">
        <f>IF(C972="","",IF(COUNTIFS(Parametry!$C$54:$C$113,E972)=1,INDEX(Parametry!$D$54:$D$113,MATCH(E972,Parametry!$C$54:$C$113,0)),""))</f>
        <v/>
      </c>
      <c r="M972" s="7">
        <f t="shared" si="45"/>
        <v>0</v>
      </c>
      <c r="N972" s="13">
        <f>IF(AND(ISNUMBER(D972),ISNUMBER(Parametry!$G$6)),IF(AND(YEAR(D972)=Parametry!$G$6,M972&lt;=Parametry!$G$7),1,0),0)</f>
        <v>0</v>
      </c>
      <c r="O972" s="13">
        <f>IF(C972="",IF(COUNTA(D972:J972)&gt;0,1,0),IF(OR(COUNTIFS($C$9:$C$1008,C972)&lt;&gt;1,NOT(ISNUMBER(D972)),NOT(ISNUMBER(I972)),L972="",AND(F972&lt;&gt;"",COUNTIFS(Umowy!$C$9:$C$108,F972,Umowy!$D$9:$D$108,L972)&lt;&gt;1)),1,0))</f>
        <v>0</v>
      </c>
      <c r="P972" s="7" t="str">
        <f t="shared" si="46"/>
        <v/>
      </c>
      <c r="Q972" s="7" t="str">
        <f t="shared" si="47"/>
        <v/>
      </c>
    </row>
    <row r="973" spans="1:17" ht="24" customHeight="1">
      <c r="A973" s="7"/>
      <c r="B973" s="7"/>
      <c r="C973" s="3"/>
      <c r="D973" s="2"/>
      <c r="E973" s="3"/>
      <c r="F973" s="3"/>
      <c r="G973" s="3"/>
      <c r="H973" s="3"/>
      <c r="I973" s="6"/>
      <c r="J973" s="3"/>
      <c r="K973" s="7"/>
      <c r="L973" s="13" t="str">
        <f>IF(C973="","",IF(COUNTIFS(Parametry!$C$54:$C$113,E973)=1,INDEX(Parametry!$D$54:$D$113,MATCH(E973,Parametry!$C$54:$C$113,0)),""))</f>
        <v/>
      </c>
      <c r="M973" s="7">
        <f t="shared" si="45"/>
        <v>0</v>
      </c>
      <c r="N973" s="13">
        <f>IF(AND(ISNUMBER(D973),ISNUMBER(Parametry!$G$6)),IF(AND(YEAR(D973)=Parametry!$G$6,M973&lt;=Parametry!$G$7),1,0),0)</f>
        <v>0</v>
      </c>
      <c r="O973" s="13">
        <f>IF(C973="",IF(COUNTA(D973:J973)&gt;0,1,0),IF(OR(COUNTIFS($C$9:$C$1008,C973)&lt;&gt;1,NOT(ISNUMBER(D973)),NOT(ISNUMBER(I973)),L973="",AND(F973&lt;&gt;"",COUNTIFS(Umowy!$C$9:$C$108,F973,Umowy!$D$9:$D$108,L973)&lt;&gt;1)),1,0))</f>
        <v>0</v>
      </c>
      <c r="P973" s="7" t="str">
        <f t="shared" si="46"/>
        <v/>
      </c>
      <c r="Q973" s="7" t="str">
        <f t="shared" si="47"/>
        <v/>
      </c>
    </row>
    <row r="974" spans="1:17" ht="24" customHeight="1">
      <c r="A974" s="7"/>
      <c r="B974" s="7"/>
      <c r="C974" s="3"/>
      <c r="D974" s="2"/>
      <c r="E974" s="3"/>
      <c r="F974" s="3"/>
      <c r="G974" s="3"/>
      <c r="H974" s="3"/>
      <c r="I974" s="6"/>
      <c r="J974" s="3"/>
      <c r="K974" s="7"/>
      <c r="L974" s="13" t="str">
        <f>IF(C974="","",IF(COUNTIFS(Parametry!$C$54:$C$113,E974)=1,INDEX(Parametry!$D$54:$D$113,MATCH(E974,Parametry!$C$54:$C$113,0)),""))</f>
        <v/>
      </c>
      <c r="M974" s="7">
        <f t="shared" si="45"/>
        <v>0</v>
      </c>
      <c r="N974" s="13">
        <f>IF(AND(ISNUMBER(D974),ISNUMBER(Parametry!$G$6)),IF(AND(YEAR(D974)=Parametry!$G$6,M974&lt;=Parametry!$G$7),1,0),0)</f>
        <v>0</v>
      </c>
      <c r="O974" s="13">
        <f>IF(C974="",IF(COUNTA(D974:J974)&gt;0,1,0),IF(OR(COUNTIFS($C$9:$C$1008,C974)&lt;&gt;1,NOT(ISNUMBER(D974)),NOT(ISNUMBER(I974)),L974="",AND(F974&lt;&gt;"",COUNTIFS(Umowy!$C$9:$C$108,F974,Umowy!$D$9:$D$108,L974)&lt;&gt;1)),1,0))</f>
        <v>0</v>
      </c>
      <c r="P974" s="7" t="str">
        <f t="shared" si="46"/>
        <v/>
      </c>
      <c r="Q974" s="7" t="str">
        <f t="shared" si="47"/>
        <v/>
      </c>
    </row>
    <row r="975" spans="1:17" ht="24" customHeight="1">
      <c r="A975" s="7"/>
      <c r="B975" s="7"/>
      <c r="C975" s="3"/>
      <c r="D975" s="2"/>
      <c r="E975" s="3"/>
      <c r="F975" s="3"/>
      <c r="G975" s="3"/>
      <c r="H975" s="3"/>
      <c r="I975" s="6"/>
      <c r="J975" s="3"/>
      <c r="K975" s="7"/>
      <c r="L975" s="13" t="str">
        <f>IF(C975="","",IF(COUNTIFS(Parametry!$C$54:$C$113,E975)=1,INDEX(Parametry!$D$54:$D$113,MATCH(E975,Parametry!$C$54:$C$113,0)),""))</f>
        <v/>
      </c>
      <c r="M975" s="7">
        <f t="shared" si="45"/>
        <v>0</v>
      </c>
      <c r="N975" s="13">
        <f>IF(AND(ISNUMBER(D975),ISNUMBER(Parametry!$G$6)),IF(AND(YEAR(D975)=Parametry!$G$6,M975&lt;=Parametry!$G$7),1,0),0)</f>
        <v>0</v>
      </c>
      <c r="O975" s="13">
        <f>IF(C975="",IF(COUNTA(D975:J975)&gt;0,1,0),IF(OR(COUNTIFS($C$9:$C$1008,C975)&lt;&gt;1,NOT(ISNUMBER(D975)),NOT(ISNUMBER(I975)),L975="",AND(F975&lt;&gt;"",COUNTIFS(Umowy!$C$9:$C$108,F975,Umowy!$D$9:$D$108,L975)&lt;&gt;1)),1,0))</f>
        <v>0</v>
      </c>
      <c r="P975" s="7" t="str">
        <f t="shared" si="46"/>
        <v/>
      </c>
      <c r="Q975" s="7" t="str">
        <f t="shared" si="47"/>
        <v/>
      </c>
    </row>
    <row r="976" spans="1:17" ht="24" customHeight="1">
      <c r="A976" s="7"/>
      <c r="B976" s="7"/>
      <c r="C976" s="3"/>
      <c r="D976" s="2"/>
      <c r="E976" s="3"/>
      <c r="F976" s="3"/>
      <c r="G976" s="3"/>
      <c r="H976" s="3"/>
      <c r="I976" s="6"/>
      <c r="J976" s="3"/>
      <c r="K976" s="7"/>
      <c r="L976" s="13" t="str">
        <f>IF(C976="","",IF(COUNTIFS(Parametry!$C$54:$C$113,E976)=1,INDEX(Parametry!$D$54:$D$113,MATCH(E976,Parametry!$C$54:$C$113,0)),""))</f>
        <v/>
      </c>
      <c r="M976" s="7">
        <f t="shared" si="45"/>
        <v>0</v>
      </c>
      <c r="N976" s="13">
        <f>IF(AND(ISNUMBER(D976),ISNUMBER(Parametry!$G$6)),IF(AND(YEAR(D976)=Parametry!$G$6,M976&lt;=Parametry!$G$7),1,0),0)</f>
        <v>0</v>
      </c>
      <c r="O976" s="13">
        <f>IF(C976="",IF(COUNTA(D976:J976)&gt;0,1,0),IF(OR(COUNTIFS($C$9:$C$1008,C976)&lt;&gt;1,NOT(ISNUMBER(D976)),NOT(ISNUMBER(I976)),L976="",AND(F976&lt;&gt;"",COUNTIFS(Umowy!$C$9:$C$108,F976,Umowy!$D$9:$D$108,L976)&lt;&gt;1)),1,0))</f>
        <v>0</v>
      </c>
      <c r="P976" s="7" t="str">
        <f t="shared" si="46"/>
        <v/>
      </c>
      <c r="Q976" s="7" t="str">
        <f t="shared" si="47"/>
        <v/>
      </c>
    </row>
    <row r="977" spans="1:17" ht="24" customHeight="1">
      <c r="A977" s="7"/>
      <c r="B977" s="7"/>
      <c r="C977" s="3"/>
      <c r="D977" s="2"/>
      <c r="E977" s="3"/>
      <c r="F977" s="3"/>
      <c r="G977" s="3"/>
      <c r="H977" s="3"/>
      <c r="I977" s="6"/>
      <c r="J977" s="3"/>
      <c r="K977" s="7"/>
      <c r="L977" s="13" t="str">
        <f>IF(C977="","",IF(COUNTIFS(Parametry!$C$54:$C$113,E977)=1,INDEX(Parametry!$D$54:$D$113,MATCH(E977,Parametry!$C$54:$C$113,0)),""))</f>
        <v/>
      </c>
      <c r="M977" s="7">
        <f t="shared" si="45"/>
        <v>0</v>
      </c>
      <c r="N977" s="13">
        <f>IF(AND(ISNUMBER(D977),ISNUMBER(Parametry!$G$6)),IF(AND(YEAR(D977)=Parametry!$G$6,M977&lt;=Parametry!$G$7),1,0),0)</f>
        <v>0</v>
      </c>
      <c r="O977" s="13">
        <f>IF(C977="",IF(COUNTA(D977:J977)&gt;0,1,0),IF(OR(COUNTIFS($C$9:$C$1008,C977)&lt;&gt;1,NOT(ISNUMBER(D977)),NOT(ISNUMBER(I977)),L977="",AND(F977&lt;&gt;"",COUNTIFS(Umowy!$C$9:$C$108,F977,Umowy!$D$9:$D$108,L977)&lt;&gt;1)),1,0))</f>
        <v>0</v>
      </c>
      <c r="P977" s="7" t="str">
        <f t="shared" si="46"/>
        <v/>
      </c>
      <c r="Q977" s="7" t="str">
        <f t="shared" si="47"/>
        <v/>
      </c>
    </row>
    <row r="978" spans="1:17" ht="24" customHeight="1">
      <c r="A978" s="7"/>
      <c r="B978" s="7"/>
      <c r="C978" s="3"/>
      <c r="D978" s="2"/>
      <c r="E978" s="3"/>
      <c r="F978" s="3"/>
      <c r="G978" s="3"/>
      <c r="H978" s="3"/>
      <c r="I978" s="6"/>
      <c r="J978" s="3"/>
      <c r="K978" s="7"/>
      <c r="L978" s="13" t="str">
        <f>IF(C978="","",IF(COUNTIFS(Parametry!$C$54:$C$113,E978)=1,INDEX(Parametry!$D$54:$D$113,MATCH(E978,Parametry!$C$54:$C$113,0)),""))</f>
        <v/>
      </c>
      <c r="M978" s="7">
        <f t="shared" si="45"/>
        <v>0</v>
      </c>
      <c r="N978" s="13">
        <f>IF(AND(ISNUMBER(D978),ISNUMBER(Parametry!$G$6)),IF(AND(YEAR(D978)=Parametry!$G$6,M978&lt;=Parametry!$G$7),1,0),0)</f>
        <v>0</v>
      </c>
      <c r="O978" s="13">
        <f>IF(C978="",IF(COUNTA(D978:J978)&gt;0,1,0),IF(OR(COUNTIFS($C$9:$C$1008,C978)&lt;&gt;1,NOT(ISNUMBER(D978)),NOT(ISNUMBER(I978)),L978="",AND(F978&lt;&gt;"",COUNTIFS(Umowy!$C$9:$C$108,F978,Umowy!$D$9:$D$108,L978)&lt;&gt;1)),1,0))</f>
        <v>0</v>
      </c>
      <c r="P978" s="7" t="str">
        <f t="shared" si="46"/>
        <v/>
      </c>
      <c r="Q978" s="7" t="str">
        <f t="shared" si="47"/>
        <v/>
      </c>
    </row>
    <row r="979" spans="1:17" ht="24" customHeight="1">
      <c r="A979" s="7"/>
      <c r="B979" s="7"/>
      <c r="C979" s="3"/>
      <c r="D979" s="2"/>
      <c r="E979" s="3"/>
      <c r="F979" s="3"/>
      <c r="G979" s="3"/>
      <c r="H979" s="3"/>
      <c r="I979" s="6"/>
      <c r="J979" s="3"/>
      <c r="K979" s="7"/>
      <c r="L979" s="13" t="str">
        <f>IF(C979="","",IF(COUNTIFS(Parametry!$C$54:$C$113,E979)=1,INDEX(Parametry!$D$54:$D$113,MATCH(E979,Parametry!$C$54:$C$113,0)),""))</f>
        <v/>
      </c>
      <c r="M979" s="7">
        <f t="shared" si="45"/>
        <v>0</v>
      </c>
      <c r="N979" s="13">
        <f>IF(AND(ISNUMBER(D979),ISNUMBER(Parametry!$G$6)),IF(AND(YEAR(D979)=Parametry!$G$6,M979&lt;=Parametry!$G$7),1,0),0)</f>
        <v>0</v>
      </c>
      <c r="O979" s="13">
        <f>IF(C979="",IF(COUNTA(D979:J979)&gt;0,1,0),IF(OR(COUNTIFS($C$9:$C$1008,C979)&lt;&gt;1,NOT(ISNUMBER(D979)),NOT(ISNUMBER(I979)),L979="",AND(F979&lt;&gt;"",COUNTIFS(Umowy!$C$9:$C$108,F979,Umowy!$D$9:$D$108,L979)&lt;&gt;1)),1,0))</f>
        <v>0</v>
      </c>
      <c r="P979" s="7" t="str">
        <f t="shared" si="46"/>
        <v/>
      </c>
      <c r="Q979" s="7" t="str">
        <f t="shared" si="47"/>
        <v/>
      </c>
    </row>
    <row r="980" spans="1:17" ht="24" customHeight="1">
      <c r="A980" s="7"/>
      <c r="B980" s="7"/>
      <c r="C980" s="3"/>
      <c r="D980" s="2"/>
      <c r="E980" s="3"/>
      <c r="F980" s="3"/>
      <c r="G980" s="3"/>
      <c r="H980" s="3"/>
      <c r="I980" s="6"/>
      <c r="J980" s="3"/>
      <c r="K980" s="7"/>
      <c r="L980" s="13" t="str">
        <f>IF(C980="","",IF(COUNTIFS(Parametry!$C$54:$C$113,E980)=1,INDEX(Parametry!$D$54:$D$113,MATCH(E980,Parametry!$C$54:$C$113,0)),""))</f>
        <v/>
      </c>
      <c r="M980" s="7">
        <f t="shared" si="45"/>
        <v>0</v>
      </c>
      <c r="N980" s="13">
        <f>IF(AND(ISNUMBER(D980),ISNUMBER(Parametry!$G$6)),IF(AND(YEAR(D980)=Parametry!$G$6,M980&lt;=Parametry!$G$7),1,0),0)</f>
        <v>0</v>
      </c>
      <c r="O980" s="13">
        <f>IF(C980="",IF(COUNTA(D980:J980)&gt;0,1,0),IF(OR(COUNTIFS($C$9:$C$1008,C980)&lt;&gt;1,NOT(ISNUMBER(D980)),NOT(ISNUMBER(I980)),L980="",AND(F980&lt;&gt;"",COUNTIFS(Umowy!$C$9:$C$108,F980,Umowy!$D$9:$D$108,L980)&lt;&gt;1)),1,0))</f>
        <v>0</v>
      </c>
      <c r="P980" s="7" t="str">
        <f t="shared" si="46"/>
        <v/>
      </c>
      <c r="Q980" s="7" t="str">
        <f t="shared" si="47"/>
        <v/>
      </c>
    </row>
    <row r="981" spans="1:17" ht="24" customHeight="1">
      <c r="A981" s="7"/>
      <c r="B981" s="7"/>
      <c r="C981" s="3"/>
      <c r="D981" s="2"/>
      <c r="E981" s="3"/>
      <c r="F981" s="3"/>
      <c r="G981" s="3"/>
      <c r="H981" s="3"/>
      <c r="I981" s="6"/>
      <c r="J981" s="3"/>
      <c r="K981" s="7"/>
      <c r="L981" s="13" t="str">
        <f>IF(C981="","",IF(COUNTIFS(Parametry!$C$54:$C$113,E981)=1,INDEX(Parametry!$D$54:$D$113,MATCH(E981,Parametry!$C$54:$C$113,0)),""))</f>
        <v/>
      </c>
      <c r="M981" s="7">
        <f t="shared" si="45"/>
        <v>0</v>
      </c>
      <c r="N981" s="13">
        <f>IF(AND(ISNUMBER(D981),ISNUMBER(Parametry!$G$6)),IF(AND(YEAR(D981)=Parametry!$G$6,M981&lt;=Parametry!$G$7),1,0),0)</f>
        <v>0</v>
      </c>
      <c r="O981" s="13">
        <f>IF(C981="",IF(COUNTA(D981:J981)&gt;0,1,0),IF(OR(COUNTIFS($C$9:$C$1008,C981)&lt;&gt;1,NOT(ISNUMBER(D981)),NOT(ISNUMBER(I981)),L981="",AND(F981&lt;&gt;"",COUNTIFS(Umowy!$C$9:$C$108,F981,Umowy!$D$9:$D$108,L981)&lt;&gt;1)),1,0))</f>
        <v>0</v>
      </c>
      <c r="P981" s="7" t="str">
        <f t="shared" si="46"/>
        <v/>
      </c>
      <c r="Q981" s="7" t="str">
        <f t="shared" si="47"/>
        <v/>
      </c>
    </row>
    <row r="982" spans="1:17" ht="24" customHeight="1">
      <c r="A982" s="7"/>
      <c r="B982" s="7"/>
      <c r="C982" s="3"/>
      <c r="D982" s="2"/>
      <c r="E982" s="3"/>
      <c r="F982" s="3"/>
      <c r="G982" s="3"/>
      <c r="H982" s="3"/>
      <c r="I982" s="6"/>
      <c r="J982" s="3"/>
      <c r="K982" s="7"/>
      <c r="L982" s="13" t="str">
        <f>IF(C982="","",IF(COUNTIFS(Parametry!$C$54:$C$113,E982)=1,INDEX(Parametry!$D$54:$D$113,MATCH(E982,Parametry!$C$54:$C$113,0)),""))</f>
        <v/>
      </c>
      <c r="M982" s="7">
        <f t="shared" si="45"/>
        <v>0</v>
      </c>
      <c r="N982" s="13">
        <f>IF(AND(ISNUMBER(D982),ISNUMBER(Parametry!$G$6)),IF(AND(YEAR(D982)=Parametry!$G$6,M982&lt;=Parametry!$G$7),1,0),0)</f>
        <v>0</v>
      </c>
      <c r="O982" s="13">
        <f>IF(C982="",IF(COUNTA(D982:J982)&gt;0,1,0),IF(OR(COUNTIFS($C$9:$C$1008,C982)&lt;&gt;1,NOT(ISNUMBER(D982)),NOT(ISNUMBER(I982)),L982="",AND(F982&lt;&gt;"",COUNTIFS(Umowy!$C$9:$C$108,F982,Umowy!$D$9:$D$108,L982)&lt;&gt;1)),1,0))</f>
        <v>0</v>
      </c>
      <c r="P982" s="7" t="str">
        <f t="shared" si="46"/>
        <v/>
      </c>
      <c r="Q982" s="7" t="str">
        <f t="shared" si="47"/>
        <v/>
      </c>
    </row>
    <row r="983" spans="1:17" ht="24" customHeight="1">
      <c r="A983" s="7"/>
      <c r="B983" s="7"/>
      <c r="C983" s="3"/>
      <c r="D983" s="2"/>
      <c r="E983" s="3"/>
      <c r="F983" s="3"/>
      <c r="G983" s="3"/>
      <c r="H983" s="3"/>
      <c r="I983" s="6"/>
      <c r="J983" s="3"/>
      <c r="K983" s="7"/>
      <c r="L983" s="13" t="str">
        <f>IF(C983="","",IF(COUNTIFS(Parametry!$C$54:$C$113,E983)=1,INDEX(Parametry!$D$54:$D$113,MATCH(E983,Parametry!$C$54:$C$113,0)),""))</f>
        <v/>
      </c>
      <c r="M983" s="7">
        <f t="shared" si="45"/>
        <v>0</v>
      </c>
      <c r="N983" s="13">
        <f>IF(AND(ISNUMBER(D983),ISNUMBER(Parametry!$G$6)),IF(AND(YEAR(D983)=Parametry!$G$6,M983&lt;=Parametry!$G$7),1,0),0)</f>
        <v>0</v>
      </c>
      <c r="O983" s="13">
        <f>IF(C983="",IF(COUNTA(D983:J983)&gt;0,1,0),IF(OR(COUNTIFS($C$9:$C$1008,C983)&lt;&gt;1,NOT(ISNUMBER(D983)),NOT(ISNUMBER(I983)),L983="",AND(F983&lt;&gt;"",COUNTIFS(Umowy!$C$9:$C$108,F983,Umowy!$D$9:$D$108,L983)&lt;&gt;1)),1,0))</f>
        <v>0</v>
      </c>
      <c r="P983" s="7" t="str">
        <f t="shared" si="46"/>
        <v/>
      </c>
      <c r="Q983" s="7" t="str">
        <f t="shared" si="47"/>
        <v/>
      </c>
    </row>
    <row r="984" spans="1:17" ht="24" customHeight="1">
      <c r="A984" s="7"/>
      <c r="B984" s="7"/>
      <c r="C984" s="3"/>
      <c r="D984" s="2"/>
      <c r="E984" s="3"/>
      <c r="F984" s="3"/>
      <c r="G984" s="3"/>
      <c r="H984" s="3"/>
      <c r="I984" s="6"/>
      <c r="J984" s="3"/>
      <c r="K984" s="7"/>
      <c r="L984" s="13" t="str">
        <f>IF(C984="","",IF(COUNTIFS(Parametry!$C$54:$C$113,E984)=1,INDEX(Parametry!$D$54:$D$113,MATCH(E984,Parametry!$C$54:$C$113,0)),""))</f>
        <v/>
      </c>
      <c r="M984" s="7">
        <f t="shared" si="45"/>
        <v>0</v>
      </c>
      <c r="N984" s="13">
        <f>IF(AND(ISNUMBER(D984),ISNUMBER(Parametry!$G$6)),IF(AND(YEAR(D984)=Parametry!$G$6,M984&lt;=Parametry!$G$7),1,0),0)</f>
        <v>0</v>
      </c>
      <c r="O984" s="13">
        <f>IF(C984="",IF(COUNTA(D984:J984)&gt;0,1,0),IF(OR(COUNTIFS($C$9:$C$1008,C984)&lt;&gt;1,NOT(ISNUMBER(D984)),NOT(ISNUMBER(I984)),L984="",AND(F984&lt;&gt;"",COUNTIFS(Umowy!$C$9:$C$108,F984,Umowy!$D$9:$D$108,L984)&lt;&gt;1)),1,0))</f>
        <v>0</v>
      </c>
      <c r="P984" s="7" t="str">
        <f t="shared" si="46"/>
        <v/>
      </c>
      <c r="Q984" s="7" t="str">
        <f t="shared" si="47"/>
        <v/>
      </c>
    </row>
    <row r="985" spans="1:17" ht="24" customHeight="1">
      <c r="A985" s="7"/>
      <c r="B985" s="7"/>
      <c r="C985" s="3"/>
      <c r="D985" s="2"/>
      <c r="E985" s="3"/>
      <c r="F985" s="3"/>
      <c r="G985" s="3"/>
      <c r="H985" s="3"/>
      <c r="I985" s="6"/>
      <c r="J985" s="3"/>
      <c r="K985" s="7"/>
      <c r="L985" s="13" t="str">
        <f>IF(C985="","",IF(COUNTIFS(Parametry!$C$54:$C$113,E985)=1,INDEX(Parametry!$D$54:$D$113,MATCH(E985,Parametry!$C$54:$C$113,0)),""))</f>
        <v/>
      </c>
      <c r="M985" s="7">
        <f t="shared" si="45"/>
        <v>0</v>
      </c>
      <c r="N985" s="13">
        <f>IF(AND(ISNUMBER(D985),ISNUMBER(Parametry!$G$6)),IF(AND(YEAR(D985)=Parametry!$G$6,M985&lt;=Parametry!$G$7),1,0),0)</f>
        <v>0</v>
      </c>
      <c r="O985" s="13">
        <f>IF(C985="",IF(COUNTA(D985:J985)&gt;0,1,0),IF(OR(COUNTIFS($C$9:$C$1008,C985)&lt;&gt;1,NOT(ISNUMBER(D985)),NOT(ISNUMBER(I985)),L985="",AND(F985&lt;&gt;"",COUNTIFS(Umowy!$C$9:$C$108,F985,Umowy!$D$9:$D$108,L985)&lt;&gt;1)),1,0))</f>
        <v>0</v>
      </c>
      <c r="P985" s="7" t="str">
        <f t="shared" si="46"/>
        <v/>
      </c>
      <c r="Q985" s="7" t="str">
        <f t="shared" si="47"/>
        <v/>
      </c>
    </row>
    <row r="986" spans="1:17" ht="24" customHeight="1">
      <c r="A986" s="7"/>
      <c r="B986" s="7"/>
      <c r="C986" s="3"/>
      <c r="D986" s="2"/>
      <c r="E986" s="3"/>
      <c r="F986" s="3"/>
      <c r="G986" s="3"/>
      <c r="H986" s="3"/>
      <c r="I986" s="6"/>
      <c r="J986" s="3"/>
      <c r="K986" s="7"/>
      <c r="L986" s="13" t="str">
        <f>IF(C986="","",IF(COUNTIFS(Parametry!$C$54:$C$113,E986)=1,INDEX(Parametry!$D$54:$D$113,MATCH(E986,Parametry!$C$54:$C$113,0)),""))</f>
        <v/>
      </c>
      <c r="M986" s="7">
        <f t="shared" si="45"/>
        <v>0</v>
      </c>
      <c r="N986" s="13">
        <f>IF(AND(ISNUMBER(D986),ISNUMBER(Parametry!$G$6)),IF(AND(YEAR(D986)=Parametry!$G$6,M986&lt;=Parametry!$G$7),1,0),0)</f>
        <v>0</v>
      </c>
      <c r="O986" s="13">
        <f>IF(C986="",IF(COUNTA(D986:J986)&gt;0,1,0),IF(OR(COUNTIFS($C$9:$C$1008,C986)&lt;&gt;1,NOT(ISNUMBER(D986)),NOT(ISNUMBER(I986)),L986="",AND(F986&lt;&gt;"",COUNTIFS(Umowy!$C$9:$C$108,F986,Umowy!$D$9:$D$108,L986)&lt;&gt;1)),1,0))</f>
        <v>0</v>
      </c>
      <c r="P986" s="7" t="str">
        <f t="shared" si="46"/>
        <v/>
      </c>
      <c r="Q986" s="7" t="str">
        <f t="shared" si="47"/>
        <v/>
      </c>
    </row>
    <row r="987" spans="1:17" ht="24" customHeight="1">
      <c r="A987" s="7"/>
      <c r="B987" s="7"/>
      <c r="C987" s="3"/>
      <c r="D987" s="2"/>
      <c r="E987" s="3"/>
      <c r="F987" s="3"/>
      <c r="G987" s="3"/>
      <c r="H987" s="3"/>
      <c r="I987" s="6"/>
      <c r="J987" s="3"/>
      <c r="K987" s="7"/>
      <c r="L987" s="13" t="str">
        <f>IF(C987="","",IF(COUNTIFS(Parametry!$C$54:$C$113,E987)=1,INDEX(Parametry!$D$54:$D$113,MATCH(E987,Parametry!$C$54:$C$113,0)),""))</f>
        <v/>
      </c>
      <c r="M987" s="7">
        <f t="shared" si="45"/>
        <v>0</v>
      </c>
      <c r="N987" s="13">
        <f>IF(AND(ISNUMBER(D987),ISNUMBER(Parametry!$G$6)),IF(AND(YEAR(D987)=Parametry!$G$6,M987&lt;=Parametry!$G$7),1,0),0)</f>
        <v>0</v>
      </c>
      <c r="O987" s="13">
        <f>IF(C987="",IF(COUNTA(D987:J987)&gt;0,1,0),IF(OR(COUNTIFS($C$9:$C$1008,C987)&lt;&gt;1,NOT(ISNUMBER(D987)),NOT(ISNUMBER(I987)),L987="",AND(F987&lt;&gt;"",COUNTIFS(Umowy!$C$9:$C$108,F987,Umowy!$D$9:$D$108,L987)&lt;&gt;1)),1,0))</f>
        <v>0</v>
      </c>
      <c r="P987" s="7" t="str">
        <f t="shared" si="46"/>
        <v/>
      </c>
      <c r="Q987" s="7" t="str">
        <f t="shared" si="47"/>
        <v/>
      </c>
    </row>
    <row r="988" spans="1:17" ht="24" customHeight="1">
      <c r="A988" s="7"/>
      <c r="B988" s="7"/>
      <c r="C988" s="3"/>
      <c r="D988" s="2"/>
      <c r="E988" s="3"/>
      <c r="F988" s="3"/>
      <c r="G988" s="3"/>
      <c r="H988" s="3"/>
      <c r="I988" s="6"/>
      <c r="J988" s="3"/>
      <c r="K988" s="7"/>
      <c r="L988" s="13" t="str">
        <f>IF(C988="","",IF(COUNTIFS(Parametry!$C$54:$C$113,E988)=1,INDEX(Parametry!$D$54:$D$113,MATCH(E988,Parametry!$C$54:$C$113,0)),""))</f>
        <v/>
      </c>
      <c r="M988" s="7">
        <f t="shared" si="45"/>
        <v>0</v>
      </c>
      <c r="N988" s="13">
        <f>IF(AND(ISNUMBER(D988),ISNUMBER(Parametry!$G$6)),IF(AND(YEAR(D988)=Parametry!$G$6,M988&lt;=Parametry!$G$7),1,0),0)</f>
        <v>0</v>
      </c>
      <c r="O988" s="13">
        <f>IF(C988="",IF(COUNTA(D988:J988)&gt;0,1,0),IF(OR(COUNTIFS($C$9:$C$1008,C988)&lt;&gt;1,NOT(ISNUMBER(D988)),NOT(ISNUMBER(I988)),L988="",AND(F988&lt;&gt;"",COUNTIFS(Umowy!$C$9:$C$108,F988,Umowy!$D$9:$D$108,L988)&lt;&gt;1)),1,0))</f>
        <v>0</v>
      </c>
      <c r="P988" s="7" t="str">
        <f t="shared" si="46"/>
        <v/>
      </c>
      <c r="Q988" s="7" t="str">
        <f t="shared" si="47"/>
        <v/>
      </c>
    </row>
    <row r="989" spans="1:17" ht="24" customHeight="1">
      <c r="A989" s="7"/>
      <c r="B989" s="7"/>
      <c r="C989" s="3"/>
      <c r="D989" s="2"/>
      <c r="E989" s="3"/>
      <c r="F989" s="3"/>
      <c r="G989" s="3"/>
      <c r="H989" s="3"/>
      <c r="I989" s="6"/>
      <c r="J989" s="3"/>
      <c r="K989" s="7"/>
      <c r="L989" s="13" t="str">
        <f>IF(C989="","",IF(COUNTIFS(Parametry!$C$54:$C$113,E989)=1,INDEX(Parametry!$D$54:$D$113,MATCH(E989,Parametry!$C$54:$C$113,0)),""))</f>
        <v/>
      </c>
      <c r="M989" s="7">
        <f t="shared" si="45"/>
        <v>0</v>
      </c>
      <c r="N989" s="13">
        <f>IF(AND(ISNUMBER(D989),ISNUMBER(Parametry!$G$6)),IF(AND(YEAR(D989)=Parametry!$G$6,M989&lt;=Parametry!$G$7),1,0),0)</f>
        <v>0</v>
      </c>
      <c r="O989" s="13">
        <f>IF(C989="",IF(COUNTA(D989:J989)&gt;0,1,0),IF(OR(COUNTIFS($C$9:$C$1008,C989)&lt;&gt;1,NOT(ISNUMBER(D989)),NOT(ISNUMBER(I989)),L989="",AND(F989&lt;&gt;"",COUNTIFS(Umowy!$C$9:$C$108,F989,Umowy!$D$9:$D$108,L989)&lt;&gt;1)),1,0))</f>
        <v>0</v>
      </c>
      <c r="P989" s="7" t="str">
        <f t="shared" si="46"/>
        <v/>
      </c>
      <c r="Q989" s="7" t="str">
        <f t="shared" si="47"/>
        <v/>
      </c>
    </row>
    <row r="990" spans="1:17" ht="24" customHeight="1">
      <c r="A990" s="7"/>
      <c r="B990" s="7"/>
      <c r="C990" s="3"/>
      <c r="D990" s="2"/>
      <c r="E990" s="3"/>
      <c r="F990" s="3"/>
      <c r="G990" s="3"/>
      <c r="H990" s="3"/>
      <c r="I990" s="6"/>
      <c r="J990" s="3"/>
      <c r="K990" s="7"/>
      <c r="L990" s="13" t="str">
        <f>IF(C990="","",IF(COUNTIFS(Parametry!$C$54:$C$113,E990)=1,INDEX(Parametry!$D$54:$D$113,MATCH(E990,Parametry!$C$54:$C$113,0)),""))</f>
        <v/>
      </c>
      <c r="M990" s="7">
        <f t="shared" si="45"/>
        <v>0</v>
      </c>
      <c r="N990" s="13">
        <f>IF(AND(ISNUMBER(D990),ISNUMBER(Parametry!$G$6)),IF(AND(YEAR(D990)=Parametry!$G$6,M990&lt;=Parametry!$G$7),1,0),0)</f>
        <v>0</v>
      </c>
      <c r="O990" s="13">
        <f>IF(C990="",IF(COUNTA(D990:J990)&gt;0,1,0),IF(OR(COUNTIFS($C$9:$C$1008,C990)&lt;&gt;1,NOT(ISNUMBER(D990)),NOT(ISNUMBER(I990)),L990="",AND(F990&lt;&gt;"",COUNTIFS(Umowy!$C$9:$C$108,F990,Umowy!$D$9:$D$108,L990)&lt;&gt;1)),1,0))</f>
        <v>0</v>
      </c>
      <c r="P990" s="7" t="str">
        <f t="shared" si="46"/>
        <v/>
      </c>
      <c r="Q990" s="7" t="str">
        <f t="shared" si="47"/>
        <v/>
      </c>
    </row>
    <row r="991" spans="1:17" ht="24" customHeight="1">
      <c r="A991" s="7"/>
      <c r="B991" s="7"/>
      <c r="C991" s="3"/>
      <c r="D991" s="2"/>
      <c r="E991" s="3"/>
      <c r="F991" s="3"/>
      <c r="G991" s="3"/>
      <c r="H991" s="3"/>
      <c r="I991" s="6"/>
      <c r="J991" s="3"/>
      <c r="K991" s="7"/>
      <c r="L991" s="13" t="str">
        <f>IF(C991="","",IF(COUNTIFS(Parametry!$C$54:$C$113,E991)=1,INDEX(Parametry!$D$54:$D$113,MATCH(E991,Parametry!$C$54:$C$113,0)),""))</f>
        <v/>
      </c>
      <c r="M991" s="7">
        <f t="shared" si="45"/>
        <v>0</v>
      </c>
      <c r="N991" s="13">
        <f>IF(AND(ISNUMBER(D991),ISNUMBER(Parametry!$G$6)),IF(AND(YEAR(D991)=Parametry!$G$6,M991&lt;=Parametry!$G$7),1,0),0)</f>
        <v>0</v>
      </c>
      <c r="O991" s="13">
        <f>IF(C991="",IF(COUNTA(D991:J991)&gt;0,1,0),IF(OR(COUNTIFS($C$9:$C$1008,C991)&lt;&gt;1,NOT(ISNUMBER(D991)),NOT(ISNUMBER(I991)),L991="",AND(F991&lt;&gt;"",COUNTIFS(Umowy!$C$9:$C$108,F991,Umowy!$D$9:$D$108,L991)&lt;&gt;1)),1,0))</f>
        <v>0</v>
      </c>
      <c r="P991" s="7" t="str">
        <f t="shared" si="46"/>
        <v/>
      </c>
      <c r="Q991" s="7" t="str">
        <f t="shared" si="47"/>
        <v/>
      </c>
    </row>
    <row r="992" spans="1:17" ht="24" customHeight="1">
      <c r="A992" s="7"/>
      <c r="B992" s="7"/>
      <c r="C992" s="3"/>
      <c r="D992" s="2"/>
      <c r="E992" s="3"/>
      <c r="F992" s="3"/>
      <c r="G992" s="3"/>
      <c r="H992" s="3"/>
      <c r="I992" s="6"/>
      <c r="J992" s="3"/>
      <c r="K992" s="7"/>
      <c r="L992" s="13" t="str">
        <f>IF(C992="","",IF(COUNTIFS(Parametry!$C$54:$C$113,E992)=1,INDEX(Parametry!$D$54:$D$113,MATCH(E992,Parametry!$C$54:$C$113,0)),""))</f>
        <v/>
      </c>
      <c r="M992" s="7">
        <f t="shared" si="45"/>
        <v>0</v>
      </c>
      <c r="N992" s="13">
        <f>IF(AND(ISNUMBER(D992),ISNUMBER(Parametry!$G$6)),IF(AND(YEAR(D992)=Parametry!$G$6,M992&lt;=Parametry!$G$7),1,0),0)</f>
        <v>0</v>
      </c>
      <c r="O992" s="13">
        <f>IF(C992="",IF(COUNTA(D992:J992)&gt;0,1,0),IF(OR(COUNTIFS($C$9:$C$1008,C992)&lt;&gt;1,NOT(ISNUMBER(D992)),NOT(ISNUMBER(I992)),L992="",AND(F992&lt;&gt;"",COUNTIFS(Umowy!$C$9:$C$108,F992,Umowy!$D$9:$D$108,L992)&lt;&gt;1)),1,0))</f>
        <v>0</v>
      </c>
      <c r="P992" s="7" t="str">
        <f t="shared" si="46"/>
        <v/>
      </c>
      <c r="Q992" s="7" t="str">
        <f t="shared" si="47"/>
        <v/>
      </c>
    </row>
    <row r="993" spans="1:17" ht="24" customHeight="1">
      <c r="A993" s="7"/>
      <c r="B993" s="7"/>
      <c r="C993" s="3"/>
      <c r="D993" s="2"/>
      <c r="E993" s="3"/>
      <c r="F993" s="3"/>
      <c r="G993" s="3"/>
      <c r="H993" s="3"/>
      <c r="I993" s="6"/>
      <c r="J993" s="3"/>
      <c r="K993" s="7"/>
      <c r="L993" s="13" t="str">
        <f>IF(C993="","",IF(COUNTIFS(Parametry!$C$54:$C$113,E993)=1,INDEX(Parametry!$D$54:$D$113,MATCH(E993,Parametry!$C$54:$C$113,0)),""))</f>
        <v/>
      </c>
      <c r="M993" s="7">
        <f t="shared" si="45"/>
        <v>0</v>
      </c>
      <c r="N993" s="13">
        <f>IF(AND(ISNUMBER(D993),ISNUMBER(Parametry!$G$6)),IF(AND(YEAR(D993)=Parametry!$G$6,M993&lt;=Parametry!$G$7),1,0),0)</f>
        <v>0</v>
      </c>
      <c r="O993" s="13">
        <f>IF(C993="",IF(COUNTA(D993:J993)&gt;0,1,0),IF(OR(COUNTIFS($C$9:$C$1008,C993)&lt;&gt;1,NOT(ISNUMBER(D993)),NOT(ISNUMBER(I993)),L993="",AND(F993&lt;&gt;"",COUNTIFS(Umowy!$C$9:$C$108,F993,Umowy!$D$9:$D$108,L993)&lt;&gt;1)),1,0))</f>
        <v>0</v>
      </c>
      <c r="P993" s="7" t="str">
        <f t="shared" si="46"/>
        <v/>
      </c>
      <c r="Q993" s="7" t="str">
        <f t="shared" si="47"/>
        <v/>
      </c>
    </row>
    <row r="994" spans="1:17" ht="24" customHeight="1">
      <c r="A994" s="7"/>
      <c r="B994" s="7"/>
      <c r="C994" s="3"/>
      <c r="D994" s="2"/>
      <c r="E994" s="3"/>
      <c r="F994" s="3"/>
      <c r="G994" s="3"/>
      <c r="H994" s="3"/>
      <c r="I994" s="6"/>
      <c r="J994" s="3"/>
      <c r="K994" s="7"/>
      <c r="L994" s="13" t="str">
        <f>IF(C994="","",IF(COUNTIFS(Parametry!$C$54:$C$113,E994)=1,INDEX(Parametry!$D$54:$D$113,MATCH(E994,Parametry!$C$54:$C$113,0)),""))</f>
        <v/>
      </c>
      <c r="M994" s="7">
        <f t="shared" si="45"/>
        <v>0</v>
      </c>
      <c r="N994" s="13">
        <f>IF(AND(ISNUMBER(D994),ISNUMBER(Parametry!$G$6)),IF(AND(YEAR(D994)=Parametry!$G$6,M994&lt;=Parametry!$G$7),1,0),0)</f>
        <v>0</v>
      </c>
      <c r="O994" s="13">
        <f>IF(C994="",IF(COUNTA(D994:J994)&gt;0,1,0),IF(OR(COUNTIFS($C$9:$C$1008,C994)&lt;&gt;1,NOT(ISNUMBER(D994)),NOT(ISNUMBER(I994)),L994="",AND(F994&lt;&gt;"",COUNTIFS(Umowy!$C$9:$C$108,F994,Umowy!$D$9:$D$108,L994)&lt;&gt;1)),1,0))</f>
        <v>0</v>
      </c>
      <c r="P994" s="7" t="str">
        <f t="shared" si="46"/>
        <v/>
      </c>
      <c r="Q994" s="7" t="str">
        <f t="shared" si="47"/>
        <v/>
      </c>
    </row>
    <row r="995" spans="1:17" ht="24" customHeight="1">
      <c r="A995" s="7"/>
      <c r="B995" s="7"/>
      <c r="C995" s="3"/>
      <c r="D995" s="2"/>
      <c r="E995" s="3"/>
      <c r="F995" s="3"/>
      <c r="G995" s="3"/>
      <c r="H995" s="3"/>
      <c r="I995" s="6"/>
      <c r="J995" s="3"/>
      <c r="K995" s="7"/>
      <c r="L995" s="13" t="str">
        <f>IF(C995="","",IF(COUNTIFS(Parametry!$C$54:$C$113,E995)=1,INDEX(Parametry!$D$54:$D$113,MATCH(E995,Parametry!$C$54:$C$113,0)),""))</f>
        <v/>
      </c>
      <c r="M995" s="7">
        <f t="shared" si="45"/>
        <v>0</v>
      </c>
      <c r="N995" s="13">
        <f>IF(AND(ISNUMBER(D995),ISNUMBER(Parametry!$G$6)),IF(AND(YEAR(D995)=Parametry!$G$6,M995&lt;=Parametry!$G$7),1,0),0)</f>
        <v>0</v>
      </c>
      <c r="O995" s="13">
        <f>IF(C995="",IF(COUNTA(D995:J995)&gt;0,1,0),IF(OR(COUNTIFS($C$9:$C$1008,C995)&lt;&gt;1,NOT(ISNUMBER(D995)),NOT(ISNUMBER(I995)),L995="",AND(F995&lt;&gt;"",COUNTIFS(Umowy!$C$9:$C$108,F995,Umowy!$D$9:$D$108,L995)&lt;&gt;1)),1,0))</f>
        <v>0</v>
      </c>
      <c r="P995" s="7" t="str">
        <f t="shared" si="46"/>
        <v/>
      </c>
      <c r="Q995" s="7" t="str">
        <f t="shared" si="47"/>
        <v/>
      </c>
    </row>
    <row r="996" spans="1:17" ht="24" customHeight="1">
      <c r="A996" s="7"/>
      <c r="B996" s="7"/>
      <c r="C996" s="3"/>
      <c r="D996" s="2"/>
      <c r="E996" s="3"/>
      <c r="F996" s="3"/>
      <c r="G996" s="3"/>
      <c r="H996" s="3"/>
      <c r="I996" s="6"/>
      <c r="J996" s="3"/>
      <c r="K996" s="7"/>
      <c r="L996" s="13" t="str">
        <f>IF(C996="","",IF(COUNTIFS(Parametry!$C$54:$C$113,E996)=1,INDEX(Parametry!$D$54:$D$113,MATCH(E996,Parametry!$C$54:$C$113,0)),""))</f>
        <v/>
      </c>
      <c r="M996" s="7">
        <f t="shared" si="45"/>
        <v>0</v>
      </c>
      <c r="N996" s="13">
        <f>IF(AND(ISNUMBER(D996),ISNUMBER(Parametry!$G$6)),IF(AND(YEAR(D996)=Parametry!$G$6,M996&lt;=Parametry!$G$7),1,0),0)</f>
        <v>0</v>
      </c>
      <c r="O996" s="13">
        <f>IF(C996="",IF(COUNTA(D996:J996)&gt;0,1,0),IF(OR(COUNTIFS($C$9:$C$1008,C996)&lt;&gt;1,NOT(ISNUMBER(D996)),NOT(ISNUMBER(I996)),L996="",AND(F996&lt;&gt;"",COUNTIFS(Umowy!$C$9:$C$108,F996,Umowy!$D$9:$D$108,L996)&lt;&gt;1)),1,0))</f>
        <v>0</v>
      </c>
      <c r="P996" s="7" t="str">
        <f t="shared" si="46"/>
        <v/>
      </c>
      <c r="Q996" s="7" t="str">
        <f t="shared" si="47"/>
        <v/>
      </c>
    </row>
    <row r="997" spans="1:17" ht="24" customHeight="1">
      <c r="A997" s="7"/>
      <c r="B997" s="7"/>
      <c r="C997" s="3"/>
      <c r="D997" s="2"/>
      <c r="E997" s="3"/>
      <c r="F997" s="3"/>
      <c r="G997" s="3"/>
      <c r="H997" s="3"/>
      <c r="I997" s="6"/>
      <c r="J997" s="3"/>
      <c r="K997" s="7"/>
      <c r="L997" s="13" t="str">
        <f>IF(C997="","",IF(COUNTIFS(Parametry!$C$54:$C$113,E997)=1,INDEX(Parametry!$D$54:$D$113,MATCH(E997,Parametry!$C$54:$C$113,0)),""))</f>
        <v/>
      </c>
      <c r="M997" s="7">
        <f t="shared" si="45"/>
        <v>0</v>
      </c>
      <c r="N997" s="13">
        <f>IF(AND(ISNUMBER(D997),ISNUMBER(Parametry!$G$6)),IF(AND(YEAR(D997)=Parametry!$G$6,M997&lt;=Parametry!$G$7),1,0),0)</f>
        <v>0</v>
      </c>
      <c r="O997" s="13">
        <f>IF(C997="",IF(COUNTA(D997:J997)&gt;0,1,0),IF(OR(COUNTIFS($C$9:$C$1008,C997)&lt;&gt;1,NOT(ISNUMBER(D997)),NOT(ISNUMBER(I997)),L997="",AND(F997&lt;&gt;"",COUNTIFS(Umowy!$C$9:$C$108,F997,Umowy!$D$9:$D$108,L997)&lt;&gt;1)),1,0))</f>
        <v>0</v>
      </c>
      <c r="P997" s="7" t="str">
        <f t="shared" si="46"/>
        <v/>
      </c>
      <c r="Q997" s="7" t="str">
        <f t="shared" si="47"/>
        <v/>
      </c>
    </row>
    <row r="998" spans="1:17" ht="24" customHeight="1">
      <c r="A998" s="7"/>
      <c r="B998" s="7"/>
      <c r="C998" s="3"/>
      <c r="D998" s="2"/>
      <c r="E998" s="3"/>
      <c r="F998" s="3"/>
      <c r="G998" s="3"/>
      <c r="H998" s="3"/>
      <c r="I998" s="6"/>
      <c r="J998" s="3"/>
      <c r="K998" s="7"/>
      <c r="L998" s="13" t="str">
        <f>IF(C998="","",IF(COUNTIFS(Parametry!$C$54:$C$113,E998)=1,INDEX(Parametry!$D$54:$D$113,MATCH(E998,Parametry!$C$54:$C$113,0)),""))</f>
        <v/>
      </c>
      <c r="M998" s="7">
        <f t="shared" si="45"/>
        <v>0</v>
      </c>
      <c r="N998" s="13">
        <f>IF(AND(ISNUMBER(D998),ISNUMBER(Parametry!$G$6)),IF(AND(YEAR(D998)=Parametry!$G$6,M998&lt;=Parametry!$G$7),1,0),0)</f>
        <v>0</v>
      </c>
      <c r="O998" s="13">
        <f>IF(C998="",IF(COUNTA(D998:J998)&gt;0,1,0),IF(OR(COUNTIFS($C$9:$C$1008,C998)&lt;&gt;1,NOT(ISNUMBER(D998)),NOT(ISNUMBER(I998)),L998="",AND(F998&lt;&gt;"",COUNTIFS(Umowy!$C$9:$C$108,F998,Umowy!$D$9:$D$108,L998)&lt;&gt;1)),1,0))</f>
        <v>0</v>
      </c>
      <c r="P998" s="7" t="str">
        <f t="shared" si="46"/>
        <v/>
      </c>
      <c r="Q998" s="7" t="str">
        <f t="shared" si="47"/>
        <v/>
      </c>
    </row>
    <row r="999" spans="1:17" ht="24" customHeight="1">
      <c r="A999" s="7"/>
      <c r="B999" s="7"/>
      <c r="C999" s="3"/>
      <c r="D999" s="2"/>
      <c r="E999" s="3"/>
      <c r="F999" s="3"/>
      <c r="G999" s="3"/>
      <c r="H999" s="3"/>
      <c r="I999" s="6"/>
      <c r="J999" s="3"/>
      <c r="K999" s="7"/>
      <c r="L999" s="13" t="str">
        <f>IF(C999="","",IF(COUNTIFS(Parametry!$C$54:$C$113,E999)=1,INDEX(Parametry!$D$54:$D$113,MATCH(E999,Parametry!$C$54:$C$113,0)),""))</f>
        <v/>
      </c>
      <c r="M999" s="7">
        <f t="shared" si="45"/>
        <v>0</v>
      </c>
      <c r="N999" s="13">
        <f>IF(AND(ISNUMBER(D999),ISNUMBER(Parametry!$G$6)),IF(AND(YEAR(D999)=Parametry!$G$6,M999&lt;=Parametry!$G$7),1,0),0)</f>
        <v>0</v>
      </c>
      <c r="O999" s="13">
        <f>IF(C999="",IF(COUNTA(D999:J999)&gt;0,1,0),IF(OR(COUNTIFS($C$9:$C$1008,C999)&lt;&gt;1,NOT(ISNUMBER(D999)),NOT(ISNUMBER(I999)),L999="",AND(F999&lt;&gt;"",COUNTIFS(Umowy!$C$9:$C$108,F999,Umowy!$D$9:$D$108,L999)&lt;&gt;1)),1,0))</f>
        <v>0</v>
      </c>
      <c r="P999" s="7" t="str">
        <f t="shared" si="46"/>
        <v/>
      </c>
      <c r="Q999" s="7" t="str">
        <f t="shared" si="47"/>
        <v/>
      </c>
    </row>
    <row r="1000" spans="1:17" ht="24" customHeight="1">
      <c r="A1000" s="7"/>
      <c r="B1000" s="7"/>
      <c r="C1000" s="3"/>
      <c r="D1000" s="2"/>
      <c r="E1000" s="3"/>
      <c r="F1000" s="3"/>
      <c r="G1000" s="3"/>
      <c r="H1000" s="3"/>
      <c r="I1000" s="6"/>
      <c r="J1000" s="3"/>
      <c r="K1000" s="7"/>
      <c r="L1000" s="13" t="str">
        <f>IF(C1000="","",IF(COUNTIFS(Parametry!$C$54:$C$113,E1000)=1,INDEX(Parametry!$D$54:$D$113,MATCH(E1000,Parametry!$C$54:$C$113,0)),""))</f>
        <v/>
      </c>
      <c r="M1000" s="7">
        <f t="shared" si="45"/>
        <v>0</v>
      </c>
      <c r="N1000" s="13">
        <f>IF(AND(ISNUMBER(D1000),ISNUMBER(Parametry!$G$6)),IF(AND(YEAR(D1000)=Parametry!$G$6,M1000&lt;=Parametry!$G$7),1,0),0)</f>
        <v>0</v>
      </c>
      <c r="O1000" s="13">
        <f>IF(C1000="",IF(COUNTA(D1000:J1000)&gt;0,1,0),IF(OR(COUNTIFS($C$9:$C$1008,C1000)&lt;&gt;1,NOT(ISNUMBER(D1000)),NOT(ISNUMBER(I1000)),L1000="",AND(F1000&lt;&gt;"",COUNTIFS(Umowy!$C$9:$C$108,F1000,Umowy!$D$9:$D$108,L1000)&lt;&gt;1)),1,0))</f>
        <v>0</v>
      </c>
      <c r="P1000" s="7" t="str">
        <f t="shared" si="46"/>
        <v/>
      </c>
      <c r="Q1000" s="7" t="str">
        <f t="shared" si="47"/>
        <v/>
      </c>
    </row>
    <row r="1001" spans="1:17" ht="24" customHeight="1">
      <c r="A1001" s="7"/>
      <c r="B1001" s="7"/>
      <c r="C1001" s="3"/>
      <c r="D1001" s="2"/>
      <c r="E1001" s="3"/>
      <c r="F1001" s="3"/>
      <c r="G1001" s="3"/>
      <c r="H1001" s="3"/>
      <c r="I1001" s="6"/>
      <c r="J1001" s="3"/>
      <c r="K1001" s="7"/>
      <c r="L1001" s="13" t="str">
        <f>IF(C1001="","",IF(COUNTIFS(Parametry!$C$54:$C$113,E1001)=1,INDEX(Parametry!$D$54:$D$113,MATCH(E1001,Parametry!$C$54:$C$113,0)),""))</f>
        <v/>
      </c>
      <c r="M1001" s="7">
        <f t="shared" si="45"/>
        <v>0</v>
      </c>
      <c r="N1001" s="13">
        <f>IF(AND(ISNUMBER(D1001),ISNUMBER(Parametry!$G$6)),IF(AND(YEAR(D1001)=Parametry!$G$6,M1001&lt;=Parametry!$G$7),1,0),0)</f>
        <v>0</v>
      </c>
      <c r="O1001" s="13">
        <f>IF(C1001="",IF(COUNTA(D1001:J1001)&gt;0,1,0),IF(OR(COUNTIFS($C$9:$C$1008,C1001)&lt;&gt;1,NOT(ISNUMBER(D1001)),NOT(ISNUMBER(I1001)),L1001="",AND(F1001&lt;&gt;"",COUNTIFS(Umowy!$C$9:$C$108,F1001,Umowy!$D$9:$D$108,L1001)&lt;&gt;1)),1,0))</f>
        <v>0</v>
      </c>
      <c r="P1001" s="7" t="str">
        <f t="shared" si="46"/>
        <v/>
      </c>
      <c r="Q1001" s="7" t="str">
        <f t="shared" si="47"/>
        <v/>
      </c>
    </row>
    <row r="1002" spans="1:17" ht="24" customHeight="1">
      <c r="A1002" s="7"/>
      <c r="B1002" s="7"/>
      <c r="C1002" s="3"/>
      <c r="D1002" s="2"/>
      <c r="E1002" s="3"/>
      <c r="F1002" s="3"/>
      <c r="G1002" s="3"/>
      <c r="H1002" s="3"/>
      <c r="I1002" s="6"/>
      <c r="J1002" s="3"/>
      <c r="K1002" s="7"/>
      <c r="L1002" s="13" t="str">
        <f>IF(C1002="","",IF(COUNTIFS(Parametry!$C$54:$C$113,E1002)=1,INDEX(Parametry!$D$54:$D$113,MATCH(E1002,Parametry!$C$54:$C$113,0)),""))</f>
        <v/>
      </c>
      <c r="M1002" s="7">
        <f t="shared" si="45"/>
        <v>0</v>
      </c>
      <c r="N1002" s="13">
        <f>IF(AND(ISNUMBER(D1002),ISNUMBER(Parametry!$G$6)),IF(AND(YEAR(D1002)=Parametry!$G$6,M1002&lt;=Parametry!$G$7),1,0),0)</f>
        <v>0</v>
      </c>
      <c r="O1002" s="13">
        <f>IF(C1002="",IF(COUNTA(D1002:J1002)&gt;0,1,0),IF(OR(COUNTIFS($C$9:$C$1008,C1002)&lt;&gt;1,NOT(ISNUMBER(D1002)),NOT(ISNUMBER(I1002)),L1002="",AND(F1002&lt;&gt;"",COUNTIFS(Umowy!$C$9:$C$108,F1002,Umowy!$D$9:$D$108,L1002)&lt;&gt;1)),1,0))</f>
        <v>0</v>
      </c>
      <c r="P1002" s="7" t="str">
        <f t="shared" si="46"/>
        <v/>
      </c>
      <c r="Q1002" s="7" t="str">
        <f t="shared" si="47"/>
        <v/>
      </c>
    </row>
    <row r="1003" spans="1:17" ht="24" customHeight="1">
      <c r="A1003" s="7"/>
      <c r="B1003" s="7"/>
      <c r="C1003" s="3"/>
      <c r="D1003" s="2"/>
      <c r="E1003" s="3"/>
      <c r="F1003" s="3"/>
      <c r="G1003" s="3"/>
      <c r="H1003" s="3"/>
      <c r="I1003" s="6"/>
      <c r="J1003" s="3"/>
      <c r="K1003" s="7"/>
      <c r="L1003" s="13" t="str">
        <f>IF(C1003="","",IF(COUNTIFS(Parametry!$C$54:$C$113,E1003)=1,INDEX(Parametry!$D$54:$D$113,MATCH(E1003,Parametry!$C$54:$C$113,0)),""))</f>
        <v/>
      </c>
      <c r="M1003" s="7">
        <f t="shared" si="45"/>
        <v>0</v>
      </c>
      <c r="N1003" s="13">
        <f>IF(AND(ISNUMBER(D1003),ISNUMBER(Parametry!$G$6)),IF(AND(YEAR(D1003)=Parametry!$G$6,M1003&lt;=Parametry!$G$7),1,0),0)</f>
        <v>0</v>
      </c>
      <c r="O1003" s="13">
        <f>IF(C1003="",IF(COUNTA(D1003:J1003)&gt;0,1,0),IF(OR(COUNTIFS($C$9:$C$1008,C1003)&lt;&gt;1,NOT(ISNUMBER(D1003)),NOT(ISNUMBER(I1003)),L1003="",AND(F1003&lt;&gt;"",COUNTIFS(Umowy!$C$9:$C$108,F1003,Umowy!$D$9:$D$108,L1003)&lt;&gt;1)),1,0))</f>
        <v>0</v>
      </c>
      <c r="P1003" s="7" t="str">
        <f t="shared" si="46"/>
        <v/>
      </c>
      <c r="Q1003" s="7" t="str">
        <f t="shared" si="47"/>
        <v/>
      </c>
    </row>
    <row r="1004" spans="1:17" ht="24" customHeight="1">
      <c r="A1004" s="7"/>
      <c r="B1004" s="7"/>
      <c r="C1004" s="3"/>
      <c r="D1004" s="2"/>
      <c r="E1004" s="3"/>
      <c r="F1004" s="3"/>
      <c r="G1004" s="3"/>
      <c r="H1004" s="3"/>
      <c r="I1004" s="6"/>
      <c r="J1004" s="3"/>
      <c r="K1004" s="7"/>
      <c r="L1004" s="13" t="str">
        <f>IF(C1004="","",IF(COUNTIFS(Parametry!$C$54:$C$113,E1004)=1,INDEX(Parametry!$D$54:$D$113,MATCH(E1004,Parametry!$C$54:$C$113,0)),""))</f>
        <v/>
      </c>
      <c r="M1004" s="7">
        <f t="shared" si="45"/>
        <v>0</v>
      </c>
      <c r="N1004" s="13">
        <f>IF(AND(ISNUMBER(D1004),ISNUMBER(Parametry!$G$6)),IF(AND(YEAR(D1004)=Parametry!$G$6,M1004&lt;=Parametry!$G$7),1,0),0)</f>
        <v>0</v>
      </c>
      <c r="O1004" s="13">
        <f>IF(C1004="",IF(COUNTA(D1004:J1004)&gt;0,1,0),IF(OR(COUNTIFS($C$9:$C$1008,C1004)&lt;&gt;1,NOT(ISNUMBER(D1004)),NOT(ISNUMBER(I1004)),L1004="",AND(F1004&lt;&gt;"",COUNTIFS(Umowy!$C$9:$C$108,F1004,Umowy!$D$9:$D$108,L1004)&lt;&gt;1)),1,0))</f>
        <v>0</v>
      </c>
      <c r="P1004" s="7" t="str">
        <f t="shared" si="46"/>
        <v/>
      </c>
      <c r="Q1004" s="7" t="str">
        <f t="shared" si="47"/>
        <v/>
      </c>
    </row>
    <row r="1005" spans="1:17" ht="24" customHeight="1">
      <c r="A1005" s="7"/>
      <c r="B1005" s="7"/>
      <c r="C1005" s="3"/>
      <c r="D1005" s="2"/>
      <c r="E1005" s="3"/>
      <c r="F1005" s="3"/>
      <c r="G1005" s="3"/>
      <c r="H1005" s="3"/>
      <c r="I1005" s="6"/>
      <c r="J1005" s="3"/>
      <c r="K1005" s="7"/>
      <c r="L1005" s="13" t="str">
        <f>IF(C1005="","",IF(COUNTIFS(Parametry!$C$54:$C$113,E1005)=1,INDEX(Parametry!$D$54:$D$113,MATCH(E1005,Parametry!$C$54:$C$113,0)),""))</f>
        <v/>
      </c>
      <c r="M1005" s="7">
        <f t="shared" si="45"/>
        <v>0</v>
      </c>
      <c r="N1005" s="13">
        <f>IF(AND(ISNUMBER(D1005),ISNUMBER(Parametry!$G$6)),IF(AND(YEAR(D1005)=Parametry!$G$6,M1005&lt;=Parametry!$G$7),1,0),0)</f>
        <v>0</v>
      </c>
      <c r="O1005" s="13">
        <f>IF(C1005="",IF(COUNTA(D1005:J1005)&gt;0,1,0),IF(OR(COUNTIFS($C$9:$C$1008,C1005)&lt;&gt;1,NOT(ISNUMBER(D1005)),NOT(ISNUMBER(I1005)),L1005="",AND(F1005&lt;&gt;"",COUNTIFS(Umowy!$C$9:$C$108,F1005,Umowy!$D$9:$D$108,L1005)&lt;&gt;1)),1,0))</f>
        <v>0</v>
      </c>
      <c r="P1005" s="7" t="str">
        <f t="shared" si="46"/>
        <v/>
      </c>
      <c r="Q1005" s="7" t="str">
        <f t="shared" si="47"/>
        <v/>
      </c>
    </row>
    <row r="1006" spans="1:17" ht="24" customHeight="1">
      <c r="A1006" s="7"/>
      <c r="B1006" s="7"/>
      <c r="C1006" s="3"/>
      <c r="D1006" s="2"/>
      <c r="E1006" s="3"/>
      <c r="F1006" s="3"/>
      <c r="G1006" s="3"/>
      <c r="H1006" s="3"/>
      <c r="I1006" s="6"/>
      <c r="J1006" s="3"/>
      <c r="K1006" s="7"/>
      <c r="L1006" s="13" t="str">
        <f>IF(C1006="","",IF(COUNTIFS(Parametry!$C$54:$C$113,E1006)=1,INDEX(Parametry!$D$54:$D$113,MATCH(E1006,Parametry!$C$54:$C$113,0)),""))</f>
        <v/>
      </c>
      <c r="M1006" s="7">
        <f t="shared" si="45"/>
        <v>0</v>
      </c>
      <c r="N1006" s="13">
        <f>IF(AND(ISNUMBER(D1006),ISNUMBER(Parametry!$G$6)),IF(AND(YEAR(D1006)=Parametry!$G$6,M1006&lt;=Parametry!$G$7),1,0),0)</f>
        <v>0</v>
      </c>
      <c r="O1006" s="13">
        <f>IF(C1006="",IF(COUNTA(D1006:J1006)&gt;0,1,0),IF(OR(COUNTIFS($C$9:$C$1008,C1006)&lt;&gt;1,NOT(ISNUMBER(D1006)),NOT(ISNUMBER(I1006)),L1006="",AND(F1006&lt;&gt;"",COUNTIFS(Umowy!$C$9:$C$108,F1006,Umowy!$D$9:$D$108,L1006)&lt;&gt;1)),1,0))</f>
        <v>0</v>
      </c>
      <c r="P1006" s="7" t="str">
        <f t="shared" si="46"/>
        <v/>
      </c>
      <c r="Q1006" s="7" t="str">
        <f t="shared" si="47"/>
        <v/>
      </c>
    </row>
    <row r="1007" spans="1:17" ht="24" customHeight="1">
      <c r="A1007" s="7"/>
      <c r="B1007" s="7"/>
      <c r="C1007" s="3"/>
      <c r="D1007" s="2"/>
      <c r="E1007" s="3"/>
      <c r="F1007" s="3"/>
      <c r="G1007" s="3"/>
      <c r="H1007" s="3"/>
      <c r="I1007" s="6"/>
      <c r="J1007" s="3"/>
      <c r="K1007" s="7"/>
      <c r="L1007" s="13" t="str">
        <f>IF(C1007="","",IF(COUNTIFS(Parametry!$C$54:$C$113,E1007)=1,INDEX(Parametry!$D$54:$D$113,MATCH(E1007,Parametry!$C$54:$C$113,0)),""))</f>
        <v/>
      </c>
      <c r="M1007" s="7">
        <f t="shared" si="45"/>
        <v>0</v>
      </c>
      <c r="N1007" s="13">
        <f>IF(AND(ISNUMBER(D1007),ISNUMBER(Parametry!$G$6)),IF(AND(YEAR(D1007)=Parametry!$G$6,M1007&lt;=Parametry!$G$7),1,0),0)</f>
        <v>0</v>
      </c>
      <c r="O1007" s="13">
        <f>IF(C1007="",IF(COUNTA(D1007:J1007)&gt;0,1,0),IF(OR(COUNTIFS($C$9:$C$1008,C1007)&lt;&gt;1,NOT(ISNUMBER(D1007)),NOT(ISNUMBER(I1007)),L1007="",AND(F1007&lt;&gt;"",COUNTIFS(Umowy!$C$9:$C$108,F1007,Umowy!$D$9:$D$108,L1007)&lt;&gt;1)),1,0))</f>
        <v>0</v>
      </c>
      <c r="P1007" s="7" t="str">
        <f t="shared" si="46"/>
        <v/>
      </c>
      <c r="Q1007" s="7" t="str">
        <f t="shared" si="47"/>
        <v/>
      </c>
    </row>
    <row r="1008" spans="1:17" ht="24" customHeight="1">
      <c r="A1008" s="7"/>
      <c r="B1008" s="7"/>
      <c r="C1008" s="3"/>
      <c r="D1008" s="2"/>
      <c r="E1008" s="3"/>
      <c r="F1008" s="3"/>
      <c r="G1008" s="3"/>
      <c r="H1008" s="3"/>
      <c r="I1008" s="6"/>
      <c r="J1008" s="3"/>
      <c r="K1008" s="7"/>
      <c r="L1008" s="13" t="str">
        <f>IF(C1008="","",IF(COUNTIFS(Parametry!$C$54:$C$113,E1008)=1,INDEX(Parametry!$D$54:$D$113,MATCH(E1008,Parametry!$C$54:$C$113,0)),""))</f>
        <v/>
      </c>
      <c r="M1008" s="7">
        <f t="shared" si="45"/>
        <v>0</v>
      </c>
      <c r="N1008" s="13">
        <f>IF(AND(ISNUMBER(D1008),ISNUMBER(Parametry!$G$6)),IF(AND(YEAR(D1008)=Parametry!$G$6,M1008&lt;=Parametry!$G$7),1,0),0)</f>
        <v>0</v>
      </c>
      <c r="O1008" s="13">
        <f>IF(C1008="",IF(COUNTA(D1008:J1008)&gt;0,1,0),IF(OR(COUNTIFS($C$9:$C$1008,C1008)&lt;&gt;1,NOT(ISNUMBER(D1008)),NOT(ISNUMBER(I1008)),L1008="",AND(F1008&lt;&gt;"",COUNTIFS(Umowy!$C$9:$C$108,F1008,Umowy!$D$9:$D$108,L1008)&lt;&gt;1)),1,0))</f>
        <v>0</v>
      </c>
      <c r="P1008" s="7" t="str">
        <f t="shared" si="46"/>
        <v/>
      </c>
      <c r="Q1008" s="7" t="str">
        <f t="shared" si="47"/>
        <v/>
      </c>
    </row>
    <row r="1009" spans="1:17" ht="24" customHeight="1">
      <c r="A1009" s="7"/>
      <c r="B1009" s="7"/>
      <c r="C1009" s="7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</row>
    <row r="1010" spans="1:17" ht="24" customHeight="1">
      <c r="A1010" s="7"/>
      <c r="B1010" s="7"/>
      <c r="C1010" s="7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</row>
    <row r="1011" spans="1:17" ht="24" customHeight="1">
      <c r="A1011" s="7"/>
      <c r="B1011" s="7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</row>
    <row r="1012" spans="1:17" ht="24" customHeight="1">
      <c r="A1012" s="7"/>
      <c r="B1012" s="7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</row>
  </sheetData>
  <sheetProtection sheet="1" objects="1" scenarios="1" autoFilter="0"/>
  <mergeCells count="3">
    <mergeCell ref="C2:Q2"/>
    <mergeCell ref="C3:Q3"/>
    <mergeCell ref="D4:G4"/>
  </mergeCells>
  <conditionalFormatting sqref="O9:O1008">
    <cfRule type="cellIs" dxfId="13" priority="1" operator="greaterThan">
      <formula>0</formula>
    </cfRule>
  </conditionalFormatting>
  <pageMargins left="0.7" right="0.7" top="0.75" bottom="0.75" header="0.3" footer="0.3"/>
  <pageSetup paperSize="9" fitToHeight="0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V42"/>
  <sheetViews>
    <sheetView showGridLines="0" zoomScale="85" zoomScaleNormal="85" workbookViewId="0">
      <pane xSplit="4" ySplit="8" topLeftCell="E9" activePane="bottomRight" state="frozen"/>
      <selection pane="topRight"/>
      <selection pane="bottomLeft"/>
      <selection pane="bottomRight" activeCell="E9" sqref="E9"/>
    </sheetView>
  </sheetViews>
  <sheetFormatPr defaultRowHeight="14.25"/>
  <cols>
    <col min="1" max="2" width="2" style="8" customWidth="1"/>
    <col min="3" max="3" width="16" style="8" customWidth="1"/>
    <col min="4" max="4" width="30" style="8" customWidth="1"/>
    <col min="5" max="5" width="18" style="8" customWidth="1"/>
    <col min="6" max="6" width="14" style="8" customWidth="1"/>
    <col min="7" max="7" width="50" style="8" customWidth="1"/>
    <col min="8" max="10" width="14" style="8" customWidth="1"/>
    <col min="11" max="22" width="12" style="8" customWidth="1"/>
    <col min="23" max="16384" width="9" style="8"/>
  </cols>
  <sheetData>
    <row r="1" spans="1:22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2" spans="1:22" ht="24" customHeight="1">
      <c r="A2" s="7"/>
      <c r="B2" s="7"/>
      <c r="C2" s="26" t="s">
        <v>298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1:22" ht="24" customHeight="1">
      <c r="A3" s="7"/>
      <c r="B3" s="7"/>
      <c r="C3" s="27" t="s">
        <v>51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</row>
    <row r="4" spans="1:22" ht="24" customHeight="1">
      <c r="A4" s="7"/>
      <c r="B4" s="7"/>
      <c r="C4" s="7" t="s">
        <v>52</v>
      </c>
      <c r="D4" s="28" t="str">
        <f>Parametry!$G$9</f>
        <v>Bazowy</v>
      </c>
      <c r="E4" s="11"/>
      <c r="F4" s="11"/>
      <c r="G4" s="11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2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2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38.1" customHeight="1">
      <c r="A8" s="7"/>
      <c r="B8" s="7"/>
      <c r="C8" s="21" t="s">
        <v>80</v>
      </c>
      <c r="D8" s="21" t="s">
        <v>156</v>
      </c>
      <c r="E8" s="21" t="s">
        <v>299</v>
      </c>
      <c r="F8" s="21" t="s">
        <v>85</v>
      </c>
      <c r="G8" s="21" t="s">
        <v>179</v>
      </c>
      <c r="H8" s="7"/>
      <c r="I8" s="7"/>
      <c r="J8" s="7"/>
      <c r="K8" s="31">
        <f>Plan!K8</f>
        <v>46388</v>
      </c>
      <c r="L8" s="31">
        <f>Plan!L8</f>
        <v>46419</v>
      </c>
      <c r="M8" s="31">
        <f>Plan!M8</f>
        <v>46447</v>
      </c>
      <c r="N8" s="31">
        <f>Plan!N8</f>
        <v>46478</v>
      </c>
      <c r="O8" s="31">
        <f>Plan!O8</f>
        <v>46508</v>
      </c>
      <c r="P8" s="31">
        <f>Plan!P8</f>
        <v>46539</v>
      </c>
      <c r="Q8" s="31">
        <f>Plan!Q8</f>
        <v>46569</v>
      </c>
      <c r="R8" s="31">
        <f>Plan!R8</f>
        <v>46600</v>
      </c>
      <c r="S8" s="31">
        <f>Plan!S8</f>
        <v>46631</v>
      </c>
      <c r="T8" s="31">
        <f>Plan!T8</f>
        <v>46661</v>
      </c>
      <c r="U8" s="31">
        <f>Plan!U8</f>
        <v>46692</v>
      </c>
      <c r="V8" s="31">
        <f>Plan!V8</f>
        <v>46722</v>
      </c>
    </row>
    <row r="9" spans="1:22" ht="24" customHeight="1">
      <c r="A9" s="7"/>
      <c r="B9" s="7"/>
      <c r="C9" s="3" t="s">
        <v>113</v>
      </c>
      <c r="D9" s="13" t="str">
        <f>IF(C9="","",IF(COUNTIFS(Plan!$C$9:$C$38,C9)=1,INDEX(Plan!$D$9:$D$38,MATCH(C9,Plan!$C$9:$C$38,0)),""))</f>
        <v>Licencje stanowiskowe</v>
      </c>
      <c r="E9" s="34">
        <f>IF(C9="","",SUMIFS(K9:V9,$K$8:$V$8,"&gt;"&amp;Parametry!$G$10))</f>
        <v>0</v>
      </c>
      <c r="F9" s="13">
        <f>IF(C9="",IF(COUNT(K9:V9)&gt;0,1,0),IF(OR(COUNTIFS($C$9:$C$38,C9)&lt;&gt;1,COUNTIFS(Plan!$C$9:$C$38,C9)&lt;&gt;1,COUNT(K9:V9)&lt;&gt;12),1,0))</f>
        <v>0</v>
      </c>
      <c r="G9" s="7" t="str">
        <f t="shared" ref="G9:G38" si="0">IF(F9=0,"","Sprawdź ID i 12 miesięcy; zero jest wartością")</f>
        <v/>
      </c>
      <c r="H9" s="7"/>
      <c r="I9" s="7"/>
      <c r="J9" s="7"/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</row>
    <row r="10" spans="1:22" ht="24" customHeight="1">
      <c r="A10" s="7"/>
      <c r="B10" s="7"/>
      <c r="C10" s="3" t="s">
        <v>116</v>
      </c>
      <c r="D10" s="13" t="str">
        <f>IF(C10="","",IF(COUNTIFS(Plan!$C$9:$C$38,C10)=1,INDEX(Plan!$D$9:$D$38,MATCH(C10,Plan!$C$9:$C$38,0)),""))</f>
        <v>Utrzymanie ERP</v>
      </c>
      <c r="E10" s="34">
        <f>IF(C10="","",SUMIFS(K10:V10,$K$8:$V$8,"&gt;"&amp;Parametry!$G$10))</f>
        <v>0</v>
      </c>
      <c r="F10" s="13">
        <f>IF(C10="",IF(COUNT(K10:V10)&gt;0,1,0),IF(OR(COUNTIFS($C$9:$C$38,C10)&lt;&gt;1,COUNTIFS(Plan!$C$9:$C$38,C10)&lt;&gt;1,COUNT(K10:V10)&lt;&gt;12),1,0))</f>
        <v>0</v>
      </c>
      <c r="G10" s="7" t="str">
        <f t="shared" si="0"/>
        <v/>
      </c>
      <c r="H10" s="7"/>
      <c r="I10" s="7"/>
      <c r="J10" s="7"/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</row>
    <row r="11" spans="1:22" ht="24" customHeight="1">
      <c r="A11" s="7"/>
      <c r="B11" s="7"/>
      <c r="C11" s="3" t="s">
        <v>119</v>
      </c>
      <c r="D11" s="13" t="str">
        <f>IF(C11="","",IF(COUNTIFS(Plan!$C$9:$C$38,C11)=1,INDEX(Plan!$D$9:$D$38,MATCH(C11,Plan!$C$9:$C$38,0)),""))</f>
        <v>Backup i odtwarzanie</v>
      </c>
      <c r="E11" s="34">
        <f>IF(C11="","",SUMIFS(K11:V11,$K$8:$V$8,"&gt;"&amp;Parametry!$G$10))</f>
        <v>0</v>
      </c>
      <c r="F11" s="13">
        <f>IF(C11="",IF(COUNT(K11:V11)&gt;0,1,0),IF(OR(COUNTIFS($C$9:$C$38,C11)&lt;&gt;1,COUNTIFS(Plan!$C$9:$C$38,C11)&lt;&gt;1,COUNT(K11:V11)&lt;&gt;12),1,0))</f>
        <v>0</v>
      </c>
      <c r="G11" s="7" t="str">
        <f t="shared" si="0"/>
        <v/>
      </c>
      <c r="H11" s="7"/>
      <c r="I11" s="7"/>
      <c r="J11" s="7"/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</row>
    <row r="12" spans="1:22" ht="24" customHeight="1">
      <c r="A12" s="7"/>
      <c r="B12" s="7"/>
      <c r="C12" s="3" t="s">
        <v>122</v>
      </c>
      <c r="D12" s="13" t="str">
        <f>IF(C12="","",IF(COUNTIFS(Plan!$C$9:$C$38,C12)=1,INDEX(Plan!$D$9:$D$38,MATCH(C12,Plan!$C$9:$C$38,0)),""))</f>
        <v>Ochrona środowiska</v>
      </c>
      <c r="E12" s="34">
        <f>IF(C12="","",SUMIFS(K12:V12,$K$8:$V$8,"&gt;"&amp;Parametry!$G$10))</f>
        <v>0</v>
      </c>
      <c r="F12" s="13">
        <f>IF(C12="",IF(COUNT(K12:V12)&gt;0,1,0),IF(OR(COUNTIFS($C$9:$C$38,C12)&lt;&gt;1,COUNTIFS(Plan!$C$9:$C$38,C12)&lt;&gt;1,COUNT(K12:V12)&lt;&gt;12),1,0))</f>
        <v>0</v>
      </c>
      <c r="G12" s="7" t="str">
        <f t="shared" si="0"/>
        <v/>
      </c>
      <c r="H12" s="7"/>
      <c r="I12" s="7"/>
      <c r="J12" s="7"/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</row>
    <row r="13" spans="1:22" ht="24" customHeight="1">
      <c r="A13" s="7"/>
      <c r="B13" s="7"/>
      <c r="C13" s="3" t="s">
        <v>125</v>
      </c>
      <c r="D13" s="13" t="str">
        <f>IF(C13="","",IF(COUNTIFS(Plan!$C$9:$C$38,C13)=1,INDEX(Plan!$D$9:$D$38,MATCH(C13,Plan!$C$9:$C$38,0)),""))</f>
        <v>Odświeżenie sieci</v>
      </c>
      <c r="E13" s="34">
        <f>IF(C13="","",SUMIFS(K13:V13,$K$8:$V$8,"&gt;"&amp;Parametry!$G$10))</f>
        <v>0</v>
      </c>
      <c r="F13" s="13">
        <f>IF(C13="",IF(COUNT(K13:V13)&gt;0,1,0),IF(OR(COUNTIFS($C$9:$C$38,C13)&lt;&gt;1,COUNTIFS(Plan!$C$9:$C$38,C13)&lt;&gt;1,COUNT(K13:V13)&lt;&gt;12),1,0))</f>
        <v>0</v>
      </c>
      <c r="G13" s="7" t="str">
        <f t="shared" si="0"/>
        <v/>
      </c>
      <c r="H13" s="7"/>
      <c r="I13" s="7"/>
      <c r="J13" s="7"/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</row>
    <row r="14" spans="1:22" ht="24" customHeight="1">
      <c r="A14" s="7"/>
      <c r="B14" s="7"/>
      <c r="C14" s="3" t="s">
        <v>128</v>
      </c>
      <c r="D14" s="13" t="str">
        <f>IF(C14="","",IF(COUNTIFS(Plan!$C$9:$C$38,C14)=1,INDEX(Plan!$D$9:$D$38,MATCH(C14,Plan!$C$9:$C$38,0)),""))</f>
        <v>Projekt WMS</v>
      </c>
      <c r="E14" s="34">
        <f>IF(C14="","",SUMIFS(K14:V14,$K$8:$V$8,"&gt;"&amp;Parametry!$G$10))</f>
        <v>0</v>
      </c>
      <c r="F14" s="13">
        <f>IF(C14="",IF(COUNT(K14:V14)&gt;0,1,0),IF(OR(COUNTIFS($C$9:$C$38,C14)&lt;&gt;1,COUNTIFS(Plan!$C$9:$C$38,C14)&lt;&gt;1,COUNT(K14:V14)&lt;&gt;12),1,0))</f>
        <v>0</v>
      </c>
      <c r="G14" s="7" t="str">
        <f t="shared" si="0"/>
        <v/>
      </c>
      <c r="H14" s="7"/>
      <c r="I14" s="7"/>
      <c r="J14" s="7"/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</row>
    <row r="15" spans="1:22" ht="24" customHeight="1">
      <c r="A15" s="7"/>
      <c r="B15" s="7"/>
      <c r="C15" s="3" t="s">
        <v>131</v>
      </c>
      <c r="D15" s="13" t="str">
        <f>IF(C15="","",IF(COUNTIFS(Plan!$C$9:$C$38,C15)=1,INDEX(Plan!$D$9:$D$38,MATCH(C15,Plan!$C$9:$C$38,0)),""))</f>
        <v>Projekt MES</v>
      </c>
      <c r="E15" s="34">
        <f>IF(C15="","",SUMIFS(K15:V15,$K$8:$V$8,"&gt;"&amp;Parametry!$G$10))</f>
        <v>0</v>
      </c>
      <c r="F15" s="13">
        <f>IF(C15="",IF(COUNT(K15:V15)&gt;0,1,0),IF(OR(COUNTIFS($C$9:$C$38,C15)&lt;&gt;1,COUNTIFS(Plan!$C$9:$C$38,C15)&lt;&gt;1,COUNT(K15:V15)&lt;&gt;12),1,0))</f>
        <v>0</v>
      </c>
      <c r="G15" s="7" t="str">
        <f t="shared" si="0"/>
        <v/>
      </c>
      <c r="H15" s="7"/>
      <c r="I15" s="7"/>
      <c r="J15" s="7"/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</row>
    <row r="16" spans="1:22" ht="24" customHeight="1">
      <c r="A16" s="7"/>
      <c r="B16" s="7"/>
      <c r="C16" s="3" t="s">
        <v>134</v>
      </c>
      <c r="D16" s="13" t="str">
        <f>IF(C16="","",IF(COUNTIFS(Plan!$C$9:$C$38,C16)=1,INDEX(Plan!$D$9:$D$38,MATCH(C16,Plan!$C$9:$C$38,0)),""))</f>
        <v>Usługi chmurowe</v>
      </c>
      <c r="E16" s="34">
        <f>IF(C16="","",SUMIFS(K16:V16,$K$8:$V$8,"&gt;"&amp;Parametry!$G$10))</f>
        <v>43200</v>
      </c>
      <c r="F16" s="13">
        <f>IF(C16="",IF(COUNT(K16:V16)&gt;0,1,0),IF(OR(COUNTIFS($C$9:$C$38,C16)&lt;&gt;1,COUNTIFS(Plan!$C$9:$C$38,C16)&lt;&gt;1,COUNT(K16:V16)&lt;&gt;12),1,0))</f>
        <v>0</v>
      </c>
      <c r="G16" s="7" t="str">
        <f t="shared" si="0"/>
        <v/>
      </c>
      <c r="H16" s="7"/>
      <c r="I16" s="7"/>
      <c r="J16" s="7"/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7200</v>
      </c>
      <c r="R16" s="4">
        <v>7200</v>
      </c>
      <c r="S16" s="4">
        <v>7200</v>
      </c>
      <c r="T16" s="4">
        <v>7200</v>
      </c>
      <c r="U16" s="4">
        <v>7200</v>
      </c>
      <c r="V16" s="4">
        <v>7200</v>
      </c>
    </row>
    <row r="17" spans="1:22" ht="24" customHeight="1">
      <c r="A17" s="7"/>
      <c r="B17" s="7"/>
      <c r="C17" s="3" t="s">
        <v>137</v>
      </c>
      <c r="D17" s="13" t="str">
        <f>IF(C17="","",IF(COUNTIFS(Plan!$C$9:$C$38,C17)=1,INDEX(Plan!$D$9:$D$38,MATCH(C17,Plan!$C$9:$C$38,0)),""))</f>
        <v>Zespół IT</v>
      </c>
      <c r="E17" s="34">
        <f>IF(C17="","",SUMIFS(K17:V17,$K$8:$V$8,"&gt;"&amp;Parametry!$G$10))</f>
        <v>192000</v>
      </c>
      <c r="F17" s="13">
        <f>IF(C17="",IF(COUNT(K17:V17)&gt;0,1,0),IF(OR(COUNTIFS($C$9:$C$38,C17)&lt;&gt;1,COUNTIFS(Plan!$C$9:$C$38,C17)&lt;&gt;1,COUNT(K17:V17)&lt;&gt;12),1,0))</f>
        <v>0</v>
      </c>
      <c r="G17" s="7" t="str">
        <f t="shared" si="0"/>
        <v/>
      </c>
      <c r="H17" s="7"/>
      <c r="I17" s="7"/>
      <c r="J17" s="7"/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32000</v>
      </c>
      <c r="R17" s="4">
        <v>32000</v>
      </c>
      <c r="S17" s="4">
        <v>32000</v>
      </c>
      <c r="T17" s="4">
        <v>32000</v>
      </c>
      <c r="U17" s="4">
        <v>32000</v>
      </c>
      <c r="V17" s="4">
        <v>32000</v>
      </c>
    </row>
    <row r="18" spans="1:22" ht="24" customHeight="1">
      <c r="A18" s="7"/>
      <c r="B18" s="7"/>
      <c r="C18" s="3" t="s">
        <v>140</v>
      </c>
      <c r="D18" s="13" t="str">
        <f>IF(C18="","",IF(COUNTIFS(Plan!$C$9:$C$38,C18)=1,INDEX(Plan!$D$9:$D$38,MATCH(C18,Plan!$C$9:$C$38,0)),""))</f>
        <v>Prace wydajnościowe ERP</v>
      </c>
      <c r="E18" s="34">
        <f>IF(C18="","",SUMIFS(K18:V18,$K$8:$V$8,"&gt;"&amp;Parametry!$G$10))</f>
        <v>0</v>
      </c>
      <c r="F18" s="13">
        <f>IF(C18="",IF(COUNT(K18:V18)&gt;0,1,0),IF(OR(COUNTIFS($C$9:$C$38,C18)&lt;&gt;1,COUNTIFS(Plan!$C$9:$C$38,C18)&lt;&gt;1,COUNT(K18:V18)&lt;&gt;12),1,0))</f>
        <v>0</v>
      </c>
      <c r="G18" s="7" t="str">
        <f t="shared" si="0"/>
        <v/>
      </c>
      <c r="H18" s="7"/>
      <c r="I18" s="7"/>
      <c r="J18" s="7"/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</row>
    <row r="19" spans="1:22" ht="24" customHeight="1">
      <c r="A19" s="7"/>
      <c r="B19" s="7"/>
      <c r="C19" s="3" t="s">
        <v>143</v>
      </c>
      <c r="D19" s="13" t="str">
        <f>IF(C19="","",IF(COUNTIFS(Plan!$C$9:$C$38,C19)=1,INDEX(Plan!$D$9:$D$38,MATCH(C19,Plan!$C$9:$C$38,0)),""))</f>
        <v>Rozwój kompetencji</v>
      </c>
      <c r="E19" s="34">
        <f>IF(C19="","",SUMIFS(K19:V19,$K$8:$V$8,"&gt;"&amp;Parametry!$G$10))</f>
        <v>12000</v>
      </c>
      <c r="F19" s="13">
        <f>IF(C19="",IF(COUNT(K19:V19)&gt;0,1,0),IF(OR(COUNTIFS($C$9:$C$38,C19)&lt;&gt;1,COUNTIFS(Plan!$C$9:$C$38,C19)&lt;&gt;1,COUNT(K19:V19)&lt;&gt;12),1,0))</f>
        <v>0</v>
      </c>
      <c r="G19" s="7" t="str">
        <f t="shared" si="0"/>
        <v/>
      </c>
      <c r="H19" s="7"/>
      <c r="I19" s="7"/>
      <c r="J19" s="7"/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12000</v>
      </c>
      <c r="U19" s="4">
        <v>0</v>
      </c>
      <c r="V19" s="4">
        <v>0</v>
      </c>
    </row>
    <row r="20" spans="1:22" ht="24" customHeight="1">
      <c r="A20" s="7"/>
      <c r="B20" s="7"/>
      <c r="C20" s="3" t="s">
        <v>146</v>
      </c>
      <c r="D20" s="13" t="str">
        <f>IF(C20="","",IF(COUNTIFS(Plan!$C$9:$C$38,C20)=1,INDEX(Plan!$D$9:$D$38,MATCH(C20,Plan!$C$9:$C$38,0)),""))</f>
        <v>Rezerwa zarządcza</v>
      </c>
      <c r="E20" s="34">
        <f>IF(C20="","",SUMIFS(K20:V20,$K$8:$V$8,"&gt;"&amp;Parametry!$G$10))</f>
        <v>5000</v>
      </c>
      <c r="F20" s="13">
        <f>IF(C20="",IF(COUNT(K20:V20)&gt;0,1,0),IF(OR(COUNTIFS($C$9:$C$38,C20)&lt;&gt;1,COUNTIFS(Plan!$C$9:$C$38,C20)&lt;&gt;1,COUNT(K20:V20)&lt;&gt;12),1,0))</f>
        <v>0</v>
      </c>
      <c r="G20" s="7" t="str">
        <f t="shared" si="0"/>
        <v/>
      </c>
      <c r="H20" s="7"/>
      <c r="I20" s="7"/>
      <c r="J20" s="7"/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5000</v>
      </c>
    </row>
    <row r="21" spans="1:22" ht="24" customHeight="1">
      <c r="A21" s="7"/>
      <c r="B21" s="7"/>
      <c r="C21" s="3" t="s">
        <v>149</v>
      </c>
      <c r="D21" s="13" t="str">
        <f>IF(C21="","",IF(COUNTIFS(Plan!$C$9:$C$38,C21)=1,INDEX(Plan!$D$9:$D$38,MATCH(C21,Plan!$C$9:$C$38,0)),""))</f>
        <v>Praca poza planem</v>
      </c>
      <c r="E21" s="34">
        <f>IF(C21="","",SUMIFS(K21:V21,$K$8:$V$8,"&gt;"&amp;Parametry!$G$10))</f>
        <v>0</v>
      </c>
      <c r="F21" s="13">
        <f>IF(C21="",IF(COUNT(K21:V21)&gt;0,1,0),IF(OR(COUNTIFS($C$9:$C$38,C21)&lt;&gt;1,COUNTIFS(Plan!$C$9:$C$38,C21)&lt;&gt;1,COUNT(K21:V21)&lt;&gt;12),1,0))</f>
        <v>0</v>
      </c>
      <c r="G21" s="7" t="str">
        <f t="shared" si="0"/>
        <v/>
      </c>
      <c r="H21" s="7"/>
      <c r="I21" s="7"/>
      <c r="J21" s="7"/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</row>
    <row r="22" spans="1:22" ht="24" customHeight="1">
      <c r="A22" s="7"/>
      <c r="B22" s="7"/>
      <c r="C22" s="3"/>
      <c r="D22" s="13" t="str">
        <f>IF(C22="","",IF(COUNTIFS(Plan!$C$9:$C$38,C22)=1,INDEX(Plan!$D$9:$D$38,MATCH(C22,Plan!$C$9:$C$38,0)),""))</f>
        <v/>
      </c>
      <c r="E22" s="34" t="str">
        <f>IF(C22="","",SUMIFS(K22:V22,$K$8:$V$8,"&gt;"&amp;Parametry!$G$10))</f>
        <v/>
      </c>
      <c r="F22" s="13">
        <f>IF(C22="",IF(COUNT(K22:V22)&gt;0,1,0),IF(OR(COUNTIFS($C$9:$C$38,C22)&lt;&gt;1,COUNTIFS(Plan!$C$9:$C$38,C22)&lt;&gt;1,COUNT(K22:V22)&lt;&gt;12),1,0))</f>
        <v>0</v>
      </c>
      <c r="G22" s="7" t="str">
        <f t="shared" si="0"/>
        <v/>
      </c>
      <c r="H22" s="7"/>
      <c r="I22" s="7"/>
      <c r="J22" s="7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ht="24" customHeight="1">
      <c r="A23" s="7"/>
      <c r="B23" s="7"/>
      <c r="C23" s="3"/>
      <c r="D23" s="13" t="str">
        <f>IF(C23="","",IF(COUNTIFS(Plan!$C$9:$C$38,C23)=1,INDEX(Plan!$D$9:$D$38,MATCH(C23,Plan!$C$9:$C$38,0)),""))</f>
        <v/>
      </c>
      <c r="E23" s="34" t="str">
        <f>IF(C23="","",SUMIFS(K23:V23,$K$8:$V$8,"&gt;"&amp;Parametry!$G$10))</f>
        <v/>
      </c>
      <c r="F23" s="13">
        <f>IF(C23="",IF(COUNT(K23:V23)&gt;0,1,0),IF(OR(COUNTIFS($C$9:$C$38,C23)&lt;&gt;1,COUNTIFS(Plan!$C$9:$C$38,C23)&lt;&gt;1,COUNT(K23:V23)&lt;&gt;12),1,0))</f>
        <v>0</v>
      </c>
      <c r="G23" s="7" t="str">
        <f t="shared" si="0"/>
        <v/>
      </c>
      <c r="H23" s="7"/>
      <c r="I23" s="7"/>
      <c r="J23" s="7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spans="1:22" ht="24" customHeight="1">
      <c r="A24" s="7"/>
      <c r="B24" s="7"/>
      <c r="C24" s="3"/>
      <c r="D24" s="13" t="str">
        <f>IF(C24="","",IF(COUNTIFS(Plan!$C$9:$C$38,C24)=1,INDEX(Plan!$D$9:$D$38,MATCH(C24,Plan!$C$9:$C$38,0)),""))</f>
        <v/>
      </c>
      <c r="E24" s="34" t="str">
        <f>IF(C24="","",SUMIFS(K24:V24,$K$8:$V$8,"&gt;"&amp;Parametry!$G$10))</f>
        <v/>
      </c>
      <c r="F24" s="13">
        <f>IF(C24="",IF(COUNT(K24:V24)&gt;0,1,0),IF(OR(COUNTIFS($C$9:$C$38,C24)&lt;&gt;1,COUNTIFS(Plan!$C$9:$C$38,C24)&lt;&gt;1,COUNT(K24:V24)&lt;&gt;12),1,0))</f>
        <v>0</v>
      </c>
      <c r="G24" s="7" t="str">
        <f t="shared" si="0"/>
        <v/>
      </c>
      <c r="H24" s="7"/>
      <c r="I24" s="7"/>
      <c r="J24" s="7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</row>
    <row r="25" spans="1:22" ht="24" customHeight="1">
      <c r="A25" s="7"/>
      <c r="B25" s="7"/>
      <c r="C25" s="3"/>
      <c r="D25" s="13" t="str">
        <f>IF(C25="","",IF(COUNTIFS(Plan!$C$9:$C$38,C25)=1,INDEX(Plan!$D$9:$D$38,MATCH(C25,Plan!$C$9:$C$38,0)),""))</f>
        <v/>
      </c>
      <c r="E25" s="34" t="str">
        <f>IF(C25="","",SUMIFS(K25:V25,$K$8:$V$8,"&gt;"&amp;Parametry!$G$10))</f>
        <v/>
      </c>
      <c r="F25" s="13">
        <f>IF(C25="",IF(COUNT(K25:V25)&gt;0,1,0),IF(OR(COUNTIFS($C$9:$C$38,C25)&lt;&gt;1,COUNTIFS(Plan!$C$9:$C$38,C25)&lt;&gt;1,COUNT(K25:V25)&lt;&gt;12),1,0))</f>
        <v>0</v>
      </c>
      <c r="G25" s="7" t="str">
        <f t="shared" si="0"/>
        <v/>
      </c>
      <c r="H25" s="7"/>
      <c r="I25" s="7"/>
      <c r="J25" s="7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1:22" ht="24" customHeight="1">
      <c r="A26" s="7"/>
      <c r="B26" s="7"/>
      <c r="C26" s="3"/>
      <c r="D26" s="13" t="str">
        <f>IF(C26="","",IF(COUNTIFS(Plan!$C$9:$C$38,C26)=1,INDEX(Plan!$D$9:$D$38,MATCH(C26,Plan!$C$9:$C$38,0)),""))</f>
        <v/>
      </c>
      <c r="E26" s="34" t="str">
        <f>IF(C26="","",SUMIFS(K26:V26,$K$8:$V$8,"&gt;"&amp;Parametry!$G$10))</f>
        <v/>
      </c>
      <c r="F26" s="13">
        <f>IF(C26="",IF(COUNT(K26:V26)&gt;0,1,0),IF(OR(COUNTIFS($C$9:$C$38,C26)&lt;&gt;1,COUNTIFS(Plan!$C$9:$C$38,C26)&lt;&gt;1,COUNT(K26:V26)&lt;&gt;12),1,0))</f>
        <v>0</v>
      </c>
      <c r="G26" s="7" t="str">
        <f t="shared" si="0"/>
        <v/>
      </c>
      <c r="H26" s="7"/>
      <c r="I26" s="7"/>
      <c r="J26" s="7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1:22" ht="24" customHeight="1">
      <c r="A27" s="7"/>
      <c r="B27" s="7"/>
      <c r="C27" s="3"/>
      <c r="D27" s="13" t="str">
        <f>IF(C27="","",IF(COUNTIFS(Plan!$C$9:$C$38,C27)=1,INDEX(Plan!$D$9:$D$38,MATCH(C27,Plan!$C$9:$C$38,0)),""))</f>
        <v/>
      </c>
      <c r="E27" s="34" t="str">
        <f>IF(C27="","",SUMIFS(K27:V27,$K$8:$V$8,"&gt;"&amp;Parametry!$G$10))</f>
        <v/>
      </c>
      <c r="F27" s="13">
        <f>IF(C27="",IF(COUNT(K27:V27)&gt;0,1,0),IF(OR(COUNTIFS($C$9:$C$38,C27)&lt;&gt;1,COUNTIFS(Plan!$C$9:$C$38,C27)&lt;&gt;1,COUNT(K27:V27)&lt;&gt;12),1,0))</f>
        <v>0</v>
      </c>
      <c r="G27" s="7" t="str">
        <f t="shared" si="0"/>
        <v/>
      </c>
      <c r="H27" s="7"/>
      <c r="I27" s="7"/>
      <c r="J27" s="7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8" spans="1:22" ht="24" customHeight="1">
      <c r="A28" s="7"/>
      <c r="B28" s="7"/>
      <c r="C28" s="3"/>
      <c r="D28" s="13" t="str">
        <f>IF(C28="","",IF(COUNTIFS(Plan!$C$9:$C$38,C28)=1,INDEX(Plan!$D$9:$D$38,MATCH(C28,Plan!$C$9:$C$38,0)),""))</f>
        <v/>
      </c>
      <c r="E28" s="34" t="str">
        <f>IF(C28="","",SUMIFS(K28:V28,$K$8:$V$8,"&gt;"&amp;Parametry!$G$10))</f>
        <v/>
      </c>
      <c r="F28" s="13">
        <f>IF(C28="",IF(COUNT(K28:V28)&gt;0,1,0),IF(OR(COUNTIFS($C$9:$C$38,C28)&lt;&gt;1,COUNTIFS(Plan!$C$9:$C$38,C28)&lt;&gt;1,COUNT(K28:V28)&lt;&gt;12),1,0))</f>
        <v>0</v>
      </c>
      <c r="G28" s="7" t="str">
        <f t="shared" si="0"/>
        <v/>
      </c>
      <c r="H28" s="7"/>
      <c r="I28" s="7"/>
      <c r="J28" s="7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</row>
    <row r="29" spans="1:22" ht="24" customHeight="1">
      <c r="A29" s="7"/>
      <c r="B29" s="7"/>
      <c r="C29" s="3"/>
      <c r="D29" s="13" t="str">
        <f>IF(C29="","",IF(COUNTIFS(Plan!$C$9:$C$38,C29)=1,INDEX(Plan!$D$9:$D$38,MATCH(C29,Plan!$C$9:$C$38,0)),""))</f>
        <v/>
      </c>
      <c r="E29" s="34" t="str">
        <f>IF(C29="","",SUMIFS(K29:V29,$K$8:$V$8,"&gt;"&amp;Parametry!$G$10))</f>
        <v/>
      </c>
      <c r="F29" s="13">
        <f>IF(C29="",IF(COUNT(K29:V29)&gt;0,1,0),IF(OR(COUNTIFS($C$9:$C$38,C29)&lt;&gt;1,COUNTIFS(Plan!$C$9:$C$38,C29)&lt;&gt;1,COUNT(K29:V29)&lt;&gt;12),1,0))</f>
        <v>0</v>
      </c>
      <c r="G29" s="7" t="str">
        <f t="shared" si="0"/>
        <v/>
      </c>
      <c r="H29" s="7"/>
      <c r="I29" s="7"/>
      <c r="J29" s="7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</row>
    <row r="30" spans="1:22" ht="24" customHeight="1">
      <c r="A30" s="7"/>
      <c r="B30" s="7"/>
      <c r="C30" s="3"/>
      <c r="D30" s="13" t="str">
        <f>IF(C30="","",IF(COUNTIFS(Plan!$C$9:$C$38,C30)=1,INDEX(Plan!$D$9:$D$38,MATCH(C30,Plan!$C$9:$C$38,0)),""))</f>
        <v/>
      </c>
      <c r="E30" s="34" t="str">
        <f>IF(C30="","",SUMIFS(K30:V30,$K$8:$V$8,"&gt;"&amp;Parametry!$G$10))</f>
        <v/>
      </c>
      <c r="F30" s="13">
        <f>IF(C30="",IF(COUNT(K30:V30)&gt;0,1,0),IF(OR(COUNTIFS($C$9:$C$38,C30)&lt;&gt;1,COUNTIFS(Plan!$C$9:$C$38,C30)&lt;&gt;1,COUNT(K30:V30)&lt;&gt;12),1,0))</f>
        <v>0</v>
      </c>
      <c r="G30" s="7" t="str">
        <f t="shared" si="0"/>
        <v/>
      </c>
      <c r="H30" s="7"/>
      <c r="I30" s="7"/>
      <c r="J30" s="7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ht="24" customHeight="1">
      <c r="A31" s="7"/>
      <c r="B31" s="7"/>
      <c r="C31" s="3"/>
      <c r="D31" s="13" t="str">
        <f>IF(C31="","",IF(COUNTIFS(Plan!$C$9:$C$38,C31)=1,INDEX(Plan!$D$9:$D$38,MATCH(C31,Plan!$C$9:$C$38,0)),""))</f>
        <v/>
      </c>
      <c r="E31" s="34" t="str">
        <f>IF(C31="","",SUMIFS(K31:V31,$K$8:$V$8,"&gt;"&amp;Parametry!$G$10))</f>
        <v/>
      </c>
      <c r="F31" s="13">
        <f>IF(C31="",IF(COUNT(K31:V31)&gt;0,1,0),IF(OR(COUNTIFS($C$9:$C$38,C31)&lt;&gt;1,COUNTIFS(Plan!$C$9:$C$38,C31)&lt;&gt;1,COUNT(K31:V31)&lt;&gt;12),1,0))</f>
        <v>0</v>
      </c>
      <c r="G31" s="7" t="str">
        <f t="shared" si="0"/>
        <v/>
      </c>
      <c r="H31" s="7"/>
      <c r="I31" s="7"/>
      <c r="J31" s="7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</row>
    <row r="32" spans="1:22" ht="24" customHeight="1">
      <c r="A32" s="7"/>
      <c r="B32" s="7"/>
      <c r="C32" s="3"/>
      <c r="D32" s="13" t="str">
        <f>IF(C32="","",IF(COUNTIFS(Plan!$C$9:$C$38,C32)=1,INDEX(Plan!$D$9:$D$38,MATCH(C32,Plan!$C$9:$C$38,0)),""))</f>
        <v/>
      </c>
      <c r="E32" s="34" t="str">
        <f>IF(C32="","",SUMIFS(K32:V32,$K$8:$V$8,"&gt;"&amp;Parametry!$G$10))</f>
        <v/>
      </c>
      <c r="F32" s="13">
        <f>IF(C32="",IF(COUNT(K32:V32)&gt;0,1,0),IF(OR(COUNTIFS($C$9:$C$38,C32)&lt;&gt;1,COUNTIFS(Plan!$C$9:$C$38,C32)&lt;&gt;1,COUNT(K32:V32)&lt;&gt;12),1,0))</f>
        <v>0</v>
      </c>
      <c r="G32" s="7" t="str">
        <f t="shared" si="0"/>
        <v/>
      </c>
      <c r="H32" s="7"/>
      <c r="I32" s="7"/>
      <c r="J32" s="7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</row>
    <row r="33" spans="1:22" ht="24" customHeight="1">
      <c r="A33" s="7"/>
      <c r="B33" s="7"/>
      <c r="C33" s="3"/>
      <c r="D33" s="13" t="str">
        <f>IF(C33="","",IF(COUNTIFS(Plan!$C$9:$C$38,C33)=1,INDEX(Plan!$D$9:$D$38,MATCH(C33,Plan!$C$9:$C$38,0)),""))</f>
        <v/>
      </c>
      <c r="E33" s="34" t="str">
        <f>IF(C33="","",SUMIFS(K33:V33,$K$8:$V$8,"&gt;"&amp;Parametry!$G$10))</f>
        <v/>
      </c>
      <c r="F33" s="13">
        <f>IF(C33="",IF(COUNT(K33:V33)&gt;0,1,0),IF(OR(COUNTIFS($C$9:$C$38,C33)&lt;&gt;1,COUNTIFS(Plan!$C$9:$C$38,C33)&lt;&gt;1,COUNT(K33:V33)&lt;&gt;12),1,0))</f>
        <v>0</v>
      </c>
      <c r="G33" s="7" t="str">
        <f t="shared" si="0"/>
        <v/>
      </c>
      <c r="H33" s="7"/>
      <c r="I33" s="7"/>
      <c r="J33" s="7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</row>
    <row r="34" spans="1:22" ht="24" customHeight="1">
      <c r="A34" s="7"/>
      <c r="B34" s="7"/>
      <c r="C34" s="3"/>
      <c r="D34" s="13" t="str">
        <f>IF(C34="","",IF(COUNTIFS(Plan!$C$9:$C$38,C34)=1,INDEX(Plan!$D$9:$D$38,MATCH(C34,Plan!$C$9:$C$38,0)),""))</f>
        <v/>
      </c>
      <c r="E34" s="34" t="str">
        <f>IF(C34="","",SUMIFS(K34:V34,$K$8:$V$8,"&gt;"&amp;Parametry!$G$10))</f>
        <v/>
      </c>
      <c r="F34" s="13">
        <f>IF(C34="",IF(COUNT(K34:V34)&gt;0,1,0),IF(OR(COUNTIFS($C$9:$C$38,C34)&lt;&gt;1,COUNTIFS(Plan!$C$9:$C$38,C34)&lt;&gt;1,COUNT(K34:V34)&lt;&gt;12),1,0))</f>
        <v>0</v>
      </c>
      <c r="G34" s="7" t="str">
        <f t="shared" si="0"/>
        <v/>
      </c>
      <c r="H34" s="7"/>
      <c r="I34" s="7"/>
      <c r="J34" s="7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</row>
    <row r="35" spans="1:22" ht="24" customHeight="1">
      <c r="A35" s="7"/>
      <c r="B35" s="7"/>
      <c r="C35" s="3"/>
      <c r="D35" s="13" t="str">
        <f>IF(C35="","",IF(COUNTIFS(Plan!$C$9:$C$38,C35)=1,INDEX(Plan!$D$9:$D$38,MATCH(C35,Plan!$C$9:$C$38,0)),""))</f>
        <v/>
      </c>
      <c r="E35" s="34" t="str">
        <f>IF(C35="","",SUMIFS(K35:V35,$K$8:$V$8,"&gt;"&amp;Parametry!$G$10))</f>
        <v/>
      </c>
      <c r="F35" s="13">
        <f>IF(C35="",IF(COUNT(K35:V35)&gt;0,1,0),IF(OR(COUNTIFS($C$9:$C$38,C35)&lt;&gt;1,COUNTIFS(Plan!$C$9:$C$38,C35)&lt;&gt;1,COUNT(K35:V35)&lt;&gt;12),1,0))</f>
        <v>0</v>
      </c>
      <c r="G35" s="7" t="str">
        <f t="shared" si="0"/>
        <v/>
      </c>
      <c r="H35" s="7"/>
      <c r="I35" s="7"/>
      <c r="J35" s="7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ht="24" customHeight="1">
      <c r="A36" s="7"/>
      <c r="B36" s="7"/>
      <c r="C36" s="3"/>
      <c r="D36" s="13" t="str">
        <f>IF(C36="","",IF(COUNTIFS(Plan!$C$9:$C$38,C36)=1,INDEX(Plan!$D$9:$D$38,MATCH(C36,Plan!$C$9:$C$38,0)),""))</f>
        <v/>
      </c>
      <c r="E36" s="34" t="str">
        <f>IF(C36="","",SUMIFS(K36:V36,$K$8:$V$8,"&gt;"&amp;Parametry!$G$10))</f>
        <v/>
      </c>
      <c r="F36" s="13">
        <f>IF(C36="",IF(COUNT(K36:V36)&gt;0,1,0),IF(OR(COUNTIFS($C$9:$C$38,C36)&lt;&gt;1,COUNTIFS(Plan!$C$9:$C$38,C36)&lt;&gt;1,COUNT(K36:V36)&lt;&gt;12),1,0))</f>
        <v>0</v>
      </c>
      <c r="G36" s="7" t="str">
        <f t="shared" si="0"/>
        <v/>
      </c>
      <c r="H36" s="7"/>
      <c r="I36" s="7"/>
      <c r="J36" s="7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</row>
    <row r="37" spans="1:22" ht="24" customHeight="1">
      <c r="A37" s="7"/>
      <c r="B37" s="7"/>
      <c r="C37" s="3"/>
      <c r="D37" s="13" t="str">
        <f>IF(C37="","",IF(COUNTIFS(Plan!$C$9:$C$38,C37)=1,INDEX(Plan!$D$9:$D$38,MATCH(C37,Plan!$C$9:$C$38,0)),""))</f>
        <v/>
      </c>
      <c r="E37" s="34" t="str">
        <f>IF(C37="","",SUMIFS(K37:V37,$K$8:$V$8,"&gt;"&amp;Parametry!$G$10))</f>
        <v/>
      </c>
      <c r="F37" s="13">
        <f>IF(C37="",IF(COUNT(K37:V37)&gt;0,1,0),IF(OR(COUNTIFS($C$9:$C$38,C37)&lt;&gt;1,COUNTIFS(Plan!$C$9:$C$38,C37)&lt;&gt;1,COUNT(K37:V37)&lt;&gt;12),1,0))</f>
        <v>0</v>
      </c>
      <c r="G37" s="7" t="str">
        <f t="shared" si="0"/>
        <v/>
      </c>
      <c r="H37" s="7"/>
      <c r="I37" s="7"/>
      <c r="J37" s="7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</row>
    <row r="38" spans="1:22" ht="24" customHeight="1">
      <c r="A38" s="7"/>
      <c r="B38" s="7"/>
      <c r="C38" s="3"/>
      <c r="D38" s="13" t="str">
        <f>IF(C38="","",IF(COUNTIFS(Plan!$C$9:$C$38,C38)=1,INDEX(Plan!$D$9:$D$38,MATCH(C38,Plan!$C$9:$C$38,0)),""))</f>
        <v/>
      </c>
      <c r="E38" s="34" t="str">
        <f>IF(C38="","",SUMIFS(K38:V38,$K$8:$V$8,"&gt;"&amp;Parametry!$G$10))</f>
        <v/>
      </c>
      <c r="F38" s="13">
        <f>IF(C38="",IF(COUNT(K38:V38)&gt;0,1,0),IF(OR(COUNTIFS($C$9:$C$38,C38)&lt;&gt;1,COUNTIFS(Plan!$C$9:$C$38,C38)&lt;&gt;1,COUNT(K38:V38)&lt;&gt;12),1,0))</f>
        <v>0</v>
      </c>
      <c r="G38" s="7" t="str">
        <f t="shared" si="0"/>
        <v/>
      </c>
      <c r="H38" s="7"/>
      <c r="I38" s="7"/>
      <c r="J38" s="7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ht="24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</row>
    <row r="40" spans="1:22" ht="24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</row>
    <row r="41" spans="1:22" ht="24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</row>
    <row r="42" spans="1:22" ht="24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</row>
  </sheetData>
  <sheetProtection sheet="1" objects="1" scenarios="1" autoFilter="0"/>
  <mergeCells count="3">
    <mergeCell ref="C2:V2"/>
    <mergeCell ref="C3:V3"/>
    <mergeCell ref="D4:G4"/>
  </mergeCells>
  <conditionalFormatting sqref="F9:F38">
    <cfRule type="cellIs" dxfId="12" priority="1" operator="greaterThan">
      <formula>0</formula>
    </cfRule>
  </conditionalFormatting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45"/>
  <sheetViews>
    <sheetView showGridLines="0" zoomScale="85" zoomScaleNormal="85" workbookViewId="0"/>
  </sheetViews>
  <sheetFormatPr defaultRowHeight="14.25"/>
  <cols>
    <col min="1" max="2" width="2" style="8" customWidth="1"/>
    <col min="3" max="3" width="38" style="8" customWidth="1"/>
    <col min="4" max="4" width="18" style="8" customWidth="1"/>
    <col min="5" max="5" width="58" style="8" customWidth="1"/>
    <col min="6" max="9" width="14" style="8" customWidth="1"/>
    <col min="10" max="16384" width="9" style="8"/>
  </cols>
  <sheetData>
    <row r="1" spans="1:9" ht="24" customHeight="1">
      <c r="A1" s="7"/>
      <c r="B1" s="7"/>
      <c r="C1" s="7"/>
      <c r="D1" s="7"/>
      <c r="E1" s="7"/>
      <c r="F1" s="7"/>
      <c r="G1" s="7"/>
      <c r="H1" s="7"/>
      <c r="I1" s="7"/>
    </row>
    <row r="2" spans="1:9" ht="24" customHeight="1">
      <c r="A2" s="7"/>
      <c r="B2" s="7"/>
      <c r="C2" s="26" t="s">
        <v>300</v>
      </c>
      <c r="D2" s="11"/>
      <c r="E2" s="11"/>
      <c r="F2" s="11"/>
      <c r="G2" s="11"/>
      <c r="H2" s="11"/>
      <c r="I2" s="11"/>
    </row>
    <row r="3" spans="1:9" ht="24" customHeight="1">
      <c r="A3" s="7"/>
      <c r="B3" s="7"/>
      <c r="C3" s="27" t="s">
        <v>51</v>
      </c>
      <c r="D3" s="11"/>
      <c r="E3" s="11"/>
      <c r="F3" s="11"/>
      <c r="G3" s="11"/>
      <c r="H3" s="11"/>
      <c r="I3" s="11"/>
    </row>
    <row r="4" spans="1:9" ht="24" customHeight="1">
      <c r="A4" s="7"/>
      <c r="B4" s="7"/>
      <c r="C4" s="7" t="s">
        <v>52</v>
      </c>
      <c r="D4" s="28" t="str">
        <f>Parametry!$G$9</f>
        <v>Bazowy</v>
      </c>
      <c r="E4" s="11"/>
      <c r="F4" s="11"/>
      <c r="G4" s="11"/>
      <c r="H4" s="7"/>
      <c r="I4" s="7"/>
    </row>
    <row r="5" spans="1:9" ht="24" customHeight="1">
      <c r="A5" s="7"/>
      <c r="B5" s="7"/>
      <c r="C5" s="7"/>
      <c r="D5" s="7"/>
      <c r="E5" s="7"/>
      <c r="F5" s="7"/>
      <c r="G5" s="7"/>
      <c r="H5" s="7"/>
      <c r="I5" s="7"/>
    </row>
    <row r="6" spans="1:9" ht="24" customHeight="1">
      <c r="A6" s="7"/>
      <c r="B6" s="7"/>
      <c r="C6" s="7"/>
      <c r="D6" s="7"/>
      <c r="E6" s="7"/>
      <c r="F6" s="7"/>
      <c r="G6" s="7"/>
      <c r="H6" s="7"/>
      <c r="I6" s="7"/>
    </row>
    <row r="7" spans="1:9" ht="24" customHeight="1">
      <c r="A7" s="7"/>
      <c r="B7" s="7"/>
      <c r="C7" s="7"/>
      <c r="D7" s="7"/>
      <c r="E7" s="7"/>
      <c r="F7" s="7"/>
      <c r="G7" s="7"/>
      <c r="H7" s="7"/>
      <c r="I7" s="7"/>
    </row>
    <row r="8" spans="1:9" ht="38.1" customHeight="1">
      <c r="A8" s="7"/>
      <c r="B8" s="7"/>
      <c r="C8" s="21" t="s">
        <v>301</v>
      </c>
      <c r="D8" s="21" t="s">
        <v>302</v>
      </c>
      <c r="E8" s="21" t="s">
        <v>303</v>
      </c>
      <c r="F8" s="7"/>
      <c r="G8" s="7"/>
      <c r="H8" s="7"/>
      <c r="I8" s="7"/>
    </row>
    <row r="9" spans="1:9" ht="39.950000000000003" customHeight="1">
      <c r="A9" s="7"/>
      <c r="B9" s="7"/>
      <c r="C9" s="38" t="s">
        <v>304</v>
      </c>
      <c r="D9" s="39">
        <f>IF(Model!$E$5=1,0,1)</f>
        <v>0</v>
      </c>
      <c r="E9" s="38" t="s">
        <v>305</v>
      </c>
      <c r="F9" s="7"/>
      <c r="G9" s="7"/>
      <c r="H9" s="7"/>
      <c r="I9" s="7"/>
    </row>
    <row r="10" spans="1:9" ht="39.950000000000003" customHeight="1">
      <c r="A10" s="7"/>
      <c r="B10" s="7"/>
      <c r="C10" s="38" t="s">
        <v>306</v>
      </c>
      <c r="D10" s="39">
        <f>SUM(Plan!$X$9:$X$38)</f>
        <v>0</v>
      </c>
      <c r="E10" s="38" t="s">
        <v>307</v>
      </c>
      <c r="F10" s="7"/>
      <c r="G10" s="7"/>
      <c r="H10" s="7"/>
      <c r="I10" s="7"/>
    </row>
    <row r="11" spans="1:9" ht="39.950000000000003" customHeight="1">
      <c r="A11" s="7"/>
      <c r="B11" s="7"/>
      <c r="C11" s="38" t="s">
        <v>308</v>
      </c>
      <c r="D11" s="39">
        <f>SUM(ERP!$O$9:$O$1008)</f>
        <v>0</v>
      </c>
      <c r="E11" s="38" t="s">
        <v>309</v>
      </c>
      <c r="F11" s="7"/>
      <c r="G11" s="7"/>
      <c r="H11" s="7"/>
      <c r="I11" s="7"/>
    </row>
    <row r="12" spans="1:9" ht="39.950000000000003" customHeight="1">
      <c r="A12" s="7"/>
      <c r="B12" s="7"/>
      <c r="C12" s="38" t="s">
        <v>310</v>
      </c>
      <c r="D12" s="39">
        <f>SUM(Umowy!$P$9:$P$108)</f>
        <v>0</v>
      </c>
      <c r="E12" s="38" t="s">
        <v>311</v>
      </c>
      <c r="F12" s="7"/>
      <c r="G12" s="7"/>
      <c r="H12" s="7"/>
      <c r="I12" s="7"/>
    </row>
    <row r="13" spans="1:9" ht="39.950000000000003" customHeight="1">
      <c r="A13" s="7"/>
      <c r="B13" s="7"/>
      <c r="C13" s="38" t="s">
        <v>312</v>
      </c>
      <c r="D13" s="39">
        <f>SUM(Prognoza!$F$9:$F$38)</f>
        <v>0</v>
      </c>
      <c r="E13" s="38" t="s">
        <v>313</v>
      </c>
      <c r="F13" s="7"/>
      <c r="G13" s="7"/>
      <c r="H13" s="7"/>
      <c r="I13" s="7"/>
    </row>
    <row r="14" spans="1:9" ht="39.950000000000003" customHeight="1">
      <c r="A14" s="7"/>
      <c r="B14" s="7"/>
      <c r="C14" s="38" t="s">
        <v>314</v>
      </c>
      <c r="D14" s="39">
        <f>SUM(Parametry!$L$35:$L$46)</f>
        <v>0</v>
      </c>
      <c r="E14" s="38" t="s">
        <v>315</v>
      </c>
      <c r="F14" s="7"/>
      <c r="G14" s="7"/>
      <c r="H14" s="7"/>
      <c r="I14" s="7"/>
    </row>
    <row r="15" spans="1:9" ht="39.950000000000003" customHeight="1">
      <c r="A15" s="7"/>
      <c r="B15" s="7"/>
      <c r="C15" s="38" t="s">
        <v>316</v>
      </c>
      <c r="D15" s="39">
        <f>SUM(Parametry!$F$54:$F$113)</f>
        <v>0</v>
      </c>
      <c r="E15" s="38" t="s">
        <v>317</v>
      </c>
      <c r="F15" s="7"/>
      <c r="G15" s="7"/>
      <c r="H15" s="7"/>
      <c r="I15" s="7"/>
    </row>
    <row r="16" spans="1:9" ht="39.950000000000003" customHeight="1">
      <c r="A16" s="7"/>
      <c r="B16" s="7"/>
      <c r="C16" s="38" t="s">
        <v>318</v>
      </c>
      <c r="D16" s="39">
        <f>SUM(Model!$N$9:$N$368)</f>
        <v>0</v>
      </c>
      <c r="E16" s="38" t="s">
        <v>319</v>
      </c>
      <c r="F16" s="7"/>
      <c r="G16" s="7"/>
      <c r="H16" s="7"/>
      <c r="I16" s="7"/>
    </row>
    <row r="17" spans="1:9" ht="39.950000000000003" customHeight="1">
      <c r="A17" s="7"/>
      <c r="B17" s="7"/>
      <c r="C17" s="38" t="s">
        <v>320</v>
      </c>
      <c r="D17" s="40">
        <f>IF(Model!$E$5=1,SUM(Model!$F$9:$F$368)-SUM(Plan!$I$9:$I$38),"")</f>
        <v>0</v>
      </c>
      <c r="E17" s="38" t="s">
        <v>321</v>
      </c>
      <c r="F17" s="7"/>
      <c r="G17" s="7"/>
      <c r="H17" s="7"/>
      <c r="I17" s="7"/>
    </row>
    <row r="18" spans="1:9" ht="39.950000000000003" customHeight="1">
      <c r="A18" s="7"/>
      <c r="B18" s="7"/>
      <c r="C18" s="38" t="s">
        <v>322</v>
      </c>
      <c r="D18" s="40">
        <f>IF(Model!$E$5=1,SUM(Model!$G$9:$G$368)-SUMIFS(ERP!$I$9:$I$1008,ERP!$N$9:$N$1008,1),"")</f>
        <v>0</v>
      </c>
      <c r="E18" s="38" t="s">
        <v>323</v>
      </c>
      <c r="F18" s="7"/>
      <c r="G18" s="7"/>
      <c r="H18" s="7"/>
      <c r="I18" s="7"/>
    </row>
    <row r="19" spans="1:9" ht="39.950000000000003" customHeight="1">
      <c r="A19" s="7"/>
      <c r="B19" s="7"/>
      <c r="C19" s="38" t="s">
        <v>324</v>
      </c>
      <c r="D19" s="40">
        <f>IF(Model!$E$6=1,SUM(Model!$H$9:$H$368)-SUMIFS(Umowy!$N$9:$N$108,Umowy!$O$9:$O$108,"&gt;0",Umowy!$O$9:$O$108,"&lt;=12"),"")</f>
        <v>0</v>
      </c>
      <c r="E19" s="38" t="s">
        <v>325</v>
      </c>
      <c r="F19" s="7"/>
      <c r="G19" s="7"/>
      <c r="H19" s="7"/>
      <c r="I19" s="7"/>
    </row>
    <row r="20" spans="1:9" ht="39.950000000000003" customHeight="1">
      <c r="A20" s="7"/>
      <c r="B20" s="7"/>
      <c r="C20" s="38" t="s">
        <v>326</v>
      </c>
      <c r="D20" s="40">
        <f>IF(Model!$E$6=1,SUM(Model!$L$9:$L$368)-SUM(Model!$G$9:$G$368)-SUM(Model!$H$9:$H$368)-SUM(Model!$K$9:$K$368),"")</f>
        <v>0</v>
      </c>
      <c r="E20" s="38" t="s">
        <v>327</v>
      </c>
      <c r="F20" s="7"/>
      <c r="G20" s="7"/>
      <c r="H20" s="7"/>
      <c r="I20" s="7"/>
    </row>
    <row r="21" spans="1:9" ht="39.950000000000003" customHeight="1">
      <c r="A21" s="7"/>
      <c r="B21" s="7"/>
      <c r="C21" s="38" t="s">
        <v>328</v>
      </c>
      <c r="D21" s="40">
        <f>IF(Model!$E$6=1,ROUND(SUM(Alokacja!$N$9:$Q$38)-SUM(Model!$L$9:$L$368),2),"")</f>
        <v>0</v>
      </c>
      <c r="E21" s="38" t="s">
        <v>329</v>
      </c>
      <c r="F21" s="7"/>
      <c r="G21" s="7"/>
      <c r="H21" s="7"/>
      <c r="I21" s="7"/>
    </row>
    <row r="22" spans="1:9" ht="39.950000000000003" customHeight="1">
      <c r="A22" s="7"/>
      <c r="B22" s="7"/>
      <c r="C22" s="38" t="s">
        <v>330</v>
      </c>
      <c r="D22" s="40">
        <f>IF(Parametry!$G$12="","n.a.",COUNTA(ERP!$C$9:$C$1008)-Parametry!$G$12)</f>
        <v>0</v>
      </c>
      <c r="E22" s="38" t="s">
        <v>331</v>
      </c>
      <c r="F22" s="7"/>
      <c r="G22" s="7"/>
      <c r="H22" s="7"/>
      <c r="I22" s="7"/>
    </row>
    <row r="23" spans="1:9" ht="39.950000000000003" customHeight="1">
      <c r="A23" s="7"/>
      <c r="B23" s="7"/>
      <c r="C23" s="38" t="s">
        <v>332</v>
      </c>
      <c r="D23" s="40">
        <f>IF(Parametry!$G$13="","n.a.",SUM(ERP!$I$9:$I$1008)-Parametry!$G$13)</f>
        <v>0</v>
      </c>
      <c r="E23" s="38" t="s">
        <v>333</v>
      </c>
      <c r="F23" s="7"/>
      <c r="G23" s="7"/>
      <c r="H23" s="7"/>
      <c r="I23" s="7"/>
    </row>
    <row r="24" spans="1:9" ht="39.950000000000003" customHeight="1">
      <c r="A24" s="7"/>
      <c r="B24" s="7"/>
      <c r="C24" s="38" t="s">
        <v>334</v>
      </c>
      <c r="D24" s="39">
        <f>COUNTIFS(ERP!$C$9:$C$1008,"&lt;&gt;",ERP!$N$9:$N$1008,0)</f>
        <v>0</v>
      </c>
      <c r="E24" s="38" t="s">
        <v>335</v>
      </c>
      <c r="F24" s="7"/>
      <c r="G24" s="7"/>
      <c r="H24" s="7"/>
      <c r="I24" s="7"/>
    </row>
    <row r="25" spans="1:9" ht="39.950000000000003" customHeight="1">
      <c r="A25" s="7"/>
      <c r="B25" s="7"/>
      <c r="C25" s="38" t="s">
        <v>336</v>
      </c>
      <c r="D25" s="39">
        <f>SUM(Umowy!$S$9:$S$108)</f>
        <v>0</v>
      </c>
      <c r="E25" s="38" t="s">
        <v>337</v>
      </c>
      <c r="F25" s="7"/>
      <c r="G25" s="7"/>
      <c r="H25" s="7"/>
      <c r="I25" s="7"/>
    </row>
    <row r="26" spans="1:9" ht="24" customHeight="1">
      <c r="A26" s="7"/>
      <c r="B26" s="7"/>
      <c r="C26" s="38"/>
      <c r="D26" s="38"/>
      <c r="E26" s="38"/>
      <c r="F26" s="7"/>
      <c r="G26" s="7"/>
      <c r="H26" s="7"/>
      <c r="I26" s="7"/>
    </row>
    <row r="27" spans="1:9" ht="24" customHeight="1">
      <c r="A27" s="7"/>
      <c r="B27" s="7"/>
      <c r="C27" s="38"/>
      <c r="D27" s="38"/>
      <c r="E27" s="38"/>
      <c r="F27" s="7"/>
      <c r="G27" s="7"/>
      <c r="H27" s="7"/>
      <c r="I27" s="7"/>
    </row>
    <row r="28" spans="1:9" ht="24" customHeight="1">
      <c r="A28" s="7"/>
      <c r="B28" s="7"/>
      <c r="C28" s="38"/>
      <c r="D28" s="38"/>
      <c r="E28" s="38"/>
      <c r="F28" s="7"/>
      <c r="G28" s="7"/>
      <c r="H28" s="7"/>
      <c r="I28" s="7"/>
    </row>
    <row r="29" spans="1:9" ht="24" customHeight="1">
      <c r="A29" s="7"/>
      <c r="B29" s="7"/>
      <c r="C29" s="38"/>
      <c r="D29" s="38"/>
      <c r="E29" s="38"/>
      <c r="F29" s="7"/>
      <c r="G29" s="7"/>
      <c r="H29" s="7"/>
      <c r="I29" s="7"/>
    </row>
    <row r="30" spans="1:9" ht="24" customHeight="1">
      <c r="A30" s="7"/>
      <c r="B30" s="7"/>
      <c r="C30" s="38"/>
      <c r="D30" s="38"/>
      <c r="E30" s="38"/>
      <c r="F30" s="7"/>
      <c r="G30" s="7"/>
      <c r="H30" s="7"/>
      <c r="I30" s="7"/>
    </row>
    <row r="31" spans="1:9" ht="24" customHeight="1">
      <c r="A31" s="7"/>
      <c r="B31" s="7"/>
      <c r="C31" s="38"/>
      <c r="D31" s="38"/>
      <c r="E31" s="38"/>
      <c r="F31" s="7"/>
      <c r="G31" s="7"/>
      <c r="H31" s="7"/>
      <c r="I31" s="7"/>
    </row>
    <row r="32" spans="1:9" ht="24" customHeight="1">
      <c r="A32" s="7"/>
      <c r="B32" s="7"/>
      <c r="C32" s="38"/>
      <c r="D32" s="38"/>
      <c r="E32" s="38"/>
      <c r="F32" s="7"/>
      <c r="G32" s="7"/>
      <c r="H32" s="7"/>
      <c r="I32" s="7"/>
    </row>
    <row r="33" spans="1:9" ht="24" customHeight="1">
      <c r="A33" s="7"/>
      <c r="B33" s="7"/>
      <c r="C33" s="38"/>
      <c r="D33" s="38"/>
      <c r="E33" s="38"/>
      <c r="F33" s="7"/>
      <c r="G33" s="7"/>
      <c r="H33" s="7"/>
      <c r="I33" s="7"/>
    </row>
    <row r="34" spans="1:9" ht="24" customHeight="1">
      <c r="A34" s="7"/>
      <c r="B34" s="7"/>
      <c r="C34" s="38"/>
      <c r="D34" s="38"/>
      <c r="E34" s="38"/>
      <c r="F34" s="7"/>
      <c r="G34" s="7"/>
      <c r="H34" s="7"/>
      <c r="I34" s="7"/>
    </row>
    <row r="35" spans="1:9" ht="24" customHeight="1">
      <c r="A35" s="7"/>
      <c r="B35" s="7"/>
      <c r="C35" s="38"/>
      <c r="D35" s="38"/>
      <c r="E35" s="38"/>
      <c r="F35" s="7"/>
      <c r="G35" s="7"/>
      <c r="H35" s="7"/>
      <c r="I35" s="7"/>
    </row>
    <row r="36" spans="1:9" ht="24" customHeight="1">
      <c r="A36" s="7"/>
      <c r="B36" s="7"/>
      <c r="C36" s="7"/>
      <c r="D36" s="7"/>
      <c r="E36" s="7"/>
      <c r="F36" s="7"/>
      <c r="G36" s="7"/>
      <c r="H36" s="7"/>
      <c r="I36" s="7"/>
    </row>
    <row r="37" spans="1:9" ht="24" customHeight="1">
      <c r="A37" s="7"/>
      <c r="B37" s="7"/>
      <c r="C37" s="7"/>
      <c r="D37" s="7"/>
      <c r="E37" s="7"/>
      <c r="F37" s="7"/>
      <c r="G37" s="7"/>
      <c r="H37" s="7"/>
      <c r="I37" s="7"/>
    </row>
    <row r="38" spans="1:9" ht="24" customHeight="1">
      <c r="A38" s="7"/>
      <c r="B38" s="7"/>
      <c r="C38" s="7"/>
      <c r="D38" s="7"/>
      <c r="E38" s="7"/>
      <c r="F38" s="7"/>
      <c r="G38" s="7"/>
      <c r="H38" s="7"/>
      <c r="I38" s="7"/>
    </row>
    <row r="39" spans="1:9" ht="24" customHeight="1">
      <c r="A39" s="7"/>
      <c r="B39" s="7"/>
      <c r="C39" s="7"/>
      <c r="D39" s="7"/>
      <c r="E39" s="7"/>
      <c r="F39" s="7"/>
      <c r="G39" s="7"/>
      <c r="H39" s="7"/>
      <c r="I39" s="7"/>
    </row>
    <row r="40" spans="1:9" ht="24" customHeight="1">
      <c r="A40" s="7"/>
      <c r="B40" s="7"/>
      <c r="C40" s="7"/>
      <c r="D40" s="7"/>
      <c r="E40" s="7"/>
      <c r="F40" s="7"/>
      <c r="G40" s="7"/>
      <c r="H40" s="7"/>
      <c r="I40" s="7"/>
    </row>
    <row r="41" spans="1:9" ht="24" customHeight="1">
      <c r="A41" s="7"/>
      <c r="B41" s="7"/>
      <c r="C41" s="7"/>
      <c r="D41" s="7"/>
      <c r="E41" s="7"/>
      <c r="F41" s="7"/>
      <c r="G41" s="7"/>
      <c r="H41" s="7"/>
      <c r="I41" s="7"/>
    </row>
    <row r="42" spans="1:9" ht="24" customHeight="1">
      <c r="A42" s="7"/>
      <c r="B42" s="7"/>
      <c r="C42" s="7"/>
      <c r="D42" s="7"/>
      <c r="E42" s="7"/>
      <c r="F42" s="7"/>
      <c r="G42" s="7"/>
      <c r="H42" s="7"/>
      <c r="I42" s="7"/>
    </row>
    <row r="43" spans="1:9" ht="24" customHeight="1">
      <c r="A43" s="7"/>
      <c r="B43" s="7"/>
      <c r="C43" s="7"/>
      <c r="D43" s="7"/>
      <c r="E43" s="7"/>
      <c r="F43" s="7"/>
      <c r="G43" s="7"/>
      <c r="H43" s="7"/>
      <c r="I43" s="7"/>
    </row>
    <row r="44" spans="1:9" ht="24" customHeight="1">
      <c r="A44" s="7"/>
      <c r="B44" s="7"/>
      <c r="C44" s="7"/>
      <c r="D44" s="7"/>
      <c r="E44" s="7"/>
      <c r="F44" s="7"/>
      <c r="G44" s="7"/>
      <c r="H44" s="7"/>
      <c r="I44" s="7"/>
    </row>
    <row r="45" spans="1:9" ht="24" customHeight="1">
      <c r="A45" s="7"/>
      <c r="B45" s="7"/>
      <c r="C45" s="7"/>
      <c r="D45" s="7"/>
      <c r="E45" s="7"/>
      <c r="F45" s="7"/>
      <c r="G45" s="7"/>
      <c r="H45" s="7"/>
      <c r="I45" s="7"/>
    </row>
  </sheetData>
  <sheetProtection sheet="1" objects="1" scenarios="1" autoFilter="0"/>
  <mergeCells count="3">
    <mergeCell ref="C2:I2"/>
    <mergeCell ref="C3:I3"/>
    <mergeCell ref="D4:G4"/>
  </mergeCells>
  <conditionalFormatting sqref="D9:D23">
    <cfRule type="expression" dxfId="11" priority="1">
      <formula>AND(ISNUMBER(D9),ABS(D9)&gt;0.005)</formula>
    </cfRule>
  </conditionalFormatting>
  <conditionalFormatting sqref="D24:D25">
    <cfRule type="cellIs" dxfId="10" priority="2" operator="greaterThan">
      <formula>0</formula>
    </cfRule>
  </conditionalFormatting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B8BDC2"/>
    <pageSetUpPr fitToPage="1"/>
  </sheetPr>
  <dimension ref="A1:N75"/>
  <sheetViews>
    <sheetView showGridLines="0" zoomScale="85" zoomScaleNormal="85" workbookViewId="0"/>
  </sheetViews>
  <sheetFormatPr defaultRowHeight="14.25"/>
  <cols>
    <col min="1" max="2" width="2" style="8" customWidth="1"/>
    <col min="3" max="3" width="28" style="8" customWidth="1"/>
    <col min="4" max="4" width="105" style="8" customWidth="1"/>
    <col min="5" max="14" width="14" style="8" customWidth="1"/>
    <col min="15" max="16384" width="9" style="8"/>
  </cols>
  <sheetData>
    <row r="1" spans="1:14" ht="24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24" customHeight="1">
      <c r="A2" s="7"/>
      <c r="B2" s="7"/>
      <c r="C2" s="26" t="s">
        <v>338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24" customHeight="1">
      <c r="A3" s="7"/>
      <c r="B3" s="7"/>
      <c r="C3" s="27" t="s">
        <v>51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24" customHeight="1">
      <c r="A4" s="7"/>
      <c r="B4" s="7"/>
      <c r="C4" s="7" t="s">
        <v>52</v>
      </c>
      <c r="D4" s="28" t="str">
        <f>Parametry!$G$9</f>
        <v>Bazowy</v>
      </c>
      <c r="E4" s="11"/>
      <c r="F4" s="11"/>
      <c r="G4" s="11"/>
      <c r="H4" s="7"/>
      <c r="I4" s="7"/>
      <c r="J4" s="7"/>
      <c r="K4" s="7"/>
      <c r="L4" s="7"/>
      <c r="M4" s="7"/>
      <c r="N4" s="7"/>
    </row>
    <row r="5" spans="1:14" ht="24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ht="24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4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ht="38.1" customHeight="1">
      <c r="A8" s="7"/>
      <c r="B8" s="7"/>
      <c r="C8" s="21" t="s">
        <v>339</v>
      </c>
      <c r="D8" s="21" t="s">
        <v>340</v>
      </c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54.95" customHeight="1">
      <c r="A9" s="7"/>
      <c r="B9" s="7"/>
      <c r="C9" s="38" t="s">
        <v>341</v>
      </c>
      <c r="D9" s="38" t="s">
        <v>342</v>
      </c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54.95" customHeight="1">
      <c r="A10" s="7"/>
      <c r="B10" s="7"/>
      <c r="C10" s="38" t="s">
        <v>343</v>
      </c>
      <c r="D10" s="38" t="s">
        <v>344</v>
      </c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ht="54.95" customHeight="1">
      <c r="A11" s="7"/>
      <c r="B11" s="7"/>
      <c r="C11" s="38" t="s">
        <v>175</v>
      </c>
      <c r="D11" s="38" t="s">
        <v>345</v>
      </c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 ht="54.95" customHeight="1">
      <c r="A12" s="7"/>
      <c r="B12" s="7"/>
      <c r="C12" s="38" t="s">
        <v>346</v>
      </c>
      <c r="D12" s="38" t="s">
        <v>347</v>
      </c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4" ht="54.95" customHeight="1">
      <c r="A13" s="7"/>
      <c r="B13" s="7"/>
      <c r="C13" s="38" t="s">
        <v>348</v>
      </c>
      <c r="D13" s="38" t="s">
        <v>349</v>
      </c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 ht="54.95" customHeight="1">
      <c r="A14" s="7"/>
      <c r="B14" s="7"/>
      <c r="C14" s="38" t="s">
        <v>158</v>
      </c>
      <c r="D14" s="38" t="s">
        <v>350</v>
      </c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1:14" ht="54.95" customHeight="1">
      <c r="A15" s="7"/>
      <c r="B15" s="7"/>
      <c r="C15" s="38" t="s">
        <v>351</v>
      </c>
      <c r="D15" s="38" t="s">
        <v>352</v>
      </c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14" ht="54.95" customHeight="1">
      <c r="A16" s="7"/>
      <c r="B16" s="7"/>
      <c r="C16" s="38" t="s">
        <v>353</v>
      </c>
      <c r="D16" s="38" t="s">
        <v>354</v>
      </c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1:14" ht="54.95" customHeight="1">
      <c r="A17" s="7"/>
      <c r="B17" s="7"/>
      <c r="C17" s="38" t="s">
        <v>355</v>
      </c>
      <c r="D17" s="38" t="s">
        <v>356</v>
      </c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ht="54.95" customHeight="1">
      <c r="A18" s="7"/>
      <c r="B18" s="7"/>
      <c r="C18" s="38" t="s">
        <v>357</v>
      </c>
      <c r="D18" s="38" t="s">
        <v>358</v>
      </c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 ht="54.95" customHeight="1">
      <c r="A19" s="7"/>
      <c r="B19" s="7"/>
      <c r="C19" s="38" t="s">
        <v>359</v>
      </c>
      <c r="D19" s="38" t="s">
        <v>360</v>
      </c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 ht="54.95" customHeight="1">
      <c r="A20" s="7"/>
      <c r="B20" s="7"/>
      <c r="C20" s="38" t="s">
        <v>361</v>
      </c>
      <c r="D20" s="38" t="s">
        <v>362</v>
      </c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 ht="54.95" customHeight="1">
      <c r="A21" s="7"/>
      <c r="B21" s="7"/>
      <c r="C21" s="38" t="s">
        <v>363</v>
      </c>
      <c r="D21" s="38" t="s">
        <v>364</v>
      </c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1:14" ht="54.95" customHeight="1">
      <c r="A22" s="7"/>
      <c r="B22" s="7"/>
      <c r="C22" s="38" t="s">
        <v>365</v>
      </c>
      <c r="D22" s="38" t="s">
        <v>366</v>
      </c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 ht="54.95" customHeight="1">
      <c r="A23" s="7"/>
      <c r="B23" s="7"/>
      <c r="C23" s="38" t="s">
        <v>367</v>
      </c>
      <c r="D23" s="38" t="s">
        <v>368</v>
      </c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4" ht="54.95" customHeight="1">
      <c r="A24" s="7"/>
      <c r="B24" s="7"/>
      <c r="C24" s="38" t="s">
        <v>369</v>
      </c>
      <c r="D24" s="38" t="s">
        <v>370</v>
      </c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14" ht="54.95" customHeight="1">
      <c r="A25" s="7"/>
      <c r="B25" s="7"/>
      <c r="C25" s="38" t="s">
        <v>371</v>
      </c>
      <c r="D25" s="38" t="s">
        <v>372</v>
      </c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1:14" ht="54.95" customHeight="1">
      <c r="A26" s="7"/>
      <c r="B26" s="7"/>
      <c r="C26" s="38" t="s">
        <v>373</v>
      </c>
      <c r="D26" s="38" t="s">
        <v>374</v>
      </c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4" ht="54.95" customHeight="1">
      <c r="A27" s="7"/>
      <c r="B27" s="7"/>
      <c r="C27" s="38" t="s">
        <v>375</v>
      </c>
      <c r="D27" s="38" t="s">
        <v>376</v>
      </c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4" ht="24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4" ht="24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4" ht="24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1:14" ht="24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1:14" ht="24" customHeigh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</row>
    <row r="33" spans="1:14" ht="24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spans="1:14" ht="24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spans="1:14" ht="24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</row>
    <row r="36" spans="1:14" ht="24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</row>
    <row r="37" spans="1:14" ht="24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spans="1:14" ht="24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</row>
    <row r="39" spans="1:14" ht="24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</row>
    <row r="40" spans="1:14" ht="24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1:14" ht="24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</row>
    <row r="42" spans="1:14" ht="24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spans="1:14" ht="24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spans="1:14" ht="24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</row>
    <row r="45" spans="1:14" ht="24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</row>
    <row r="46" spans="1:14" ht="24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</row>
    <row r="47" spans="1:14" ht="24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</row>
    <row r="48" spans="1:14" ht="24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</row>
    <row r="49" spans="1:14" ht="24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spans="1:14" ht="24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</row>
    <row r="51" spans="1:14" ht="24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</row>
    <row r="52" spans="1:14" ht="24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spans="1:14" ht="24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</row>
    <row r="54" spans="1:14" ht="24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</row>
    <row r="55" spans="1:14" ht="24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</row>
    <row r="56" spans="1:14" ht="24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</row>
    <row r="57" spans="1:14" ht="24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</row>
    <row r="58" spans="1:14" ht="24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  <row r="59" spans="1:14" ht="24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  <row r="60" spans="1:14" ht="24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</row>
    <row r="61" spans="1:14" ht="24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</row>
    <row r="62" spans="1:14" ht="24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</row>
    <row r="63" spans="1:14" ht="24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</row>
    <row r="64" spans="1:14" ht="24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</row>
    <row r="65" spans="1:14" ht="24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</row>
    <row r="66" spans="1:14" ht="24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</row>
    <row r="67" spans="1:14" ht="24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</row>
    <row r="68" spans="1:14" ht="24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</row>
    <row r="69" spans="1:14" ht="24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</row>
    <row r="70" spans="1:14" ht="24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</row>
    <row r="71" spans="1:14" ht="24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</row>
    <row r="72" spans="1:14" ht="24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</row>
    <row r="73" spans="1:14" ht="24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</row>
    <row r="74" spans="1:14" ht="24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</row>
    <row r="75" spans="1:14" ht="24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</row>
  </sheetData>
  <sheetProtection sheet="1" objects="1" scenarios="1" autoFilter="0"/>
  <mergeCells count="3">
    <mergeCell ref="C2:N2"/>
    <mergeCell ref="C3:N3"/>
    <mergeCell ref="D4:G4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1</vt:i4>
      </vt:variant>
    </vt:vector>
  </HeadingPairs>
  <TitlesOfParts>
    <vt:vector size="11" baseType="lpstr">
      <vt:lpstr>Raport</vt:lpstr>
      <vt:lpstr>Parametry</vt:lpstr>
      <vt:lpstr>Model</vt:lpstr>
      <vt:lpstr>Alokacja</vt:lpstr>
      <vt:lpstr>Plan</vt:lpstr>
      <vt:lpstr>Umowy</vt:lpstr>
      <vt:lpstr>ERP</vt:lpstr>
      <vt:lpstr>Prognoza</vt:lpstr>
      <vt:lpstr>Kontrola</vt:lpstr>
      <vt:lpstr>Instrukcja</vt:lpstr>
      <vt:lpstr>Raport!Obszar_wydruku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Rafał M</cp:lastModifiedBy>
  <dcterms:modified xsi:type="dcterms:W3CDTF">2026-10-31T23:42:35Z</dcterms:modified>
</cp:coreProperties>
</file>